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per-my.sharepoint.com/personal/p2161_uniper_energy/Documents/Shared Drive/Electricity/CUSC/CMP351-CMP400/CMP315_375/"/>
    </mc:Choice>
  </mc:AlternateContent>
  <xr:revisionPtr revIDLastSave="33" documentId="8_{5CF73D27-20E8-46ED-9C45-1EF13AC1C11A}" xr6:coauthVersionLast="47" xr6:coauthVersionMax="47" xr10:uidLastSave="{2001772D-9EA1-4974-BB6B-564549867AD9}"/>
  <bookViews>
    <workbookView xWindow="-110" yWindow="-110" windowWidth="38620" windowHeight="21220" xr2:uid="{1A94F227-DC5A-4D38-82E6-7F982A00A343}"/>
  </bookViews>
  <sheets>
    <sheet name="CMP315 PJ" sheetId="7" r:id="rId1"/>
    <sheet name="CMP375 PJ" sheetId="6" r:id="rId2"/>
    <sheet name="Constants" sheetId="3" r:id="rId3"/>
  </sheets>
  <definedNames>
    <definedName name="Assumed_Asset_Life__years">#REF!</definedName>
    <definedName name="MEA_Cost">#REF!</definedName>
    <definedName name="MEA_Cost2" localSheetId="0">'CMP315 PJ'!$AC$7</definedName>
    <definedName name="MEA_Cost2">'CMP375 PJ'!$AC$7</definedName>
    <definedName name="Overheads">Constants!$C$3</definedName>
    <definedName name="WACC">Constants!$C$2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6" i="7" l="1"/>
  <c r="T36" i="7"/>
  <c r="Q36" i="7"/>
  <c r="M36" i="7"/>
  <c r="L36" i="7"/>
  <c r="K36" i="7"/>
  <c r="N36" i="7" s="1"/>
  <c r="I36" i="7"/>
  <c r="U35" i="7"/>
  <c r="T35" i="7"/>
  <c r="S35" i="7"/>
  <c r="V35" i="7" s="1"/>
  <c r="Q35" i="7"/>
  <c r="X35" i="7" s="1"/>
  <c r="M35" i="7"/>
  <c r="L35" i="7"/>
  <c r="I35" i="7"/>
  <c r="U34" i="7"/>
  <c r="T34" i="7"/>
  <c r="S34" i="7"/>
  <c r="V34" i="7" s="1"/>
  <c r="Q34" i="7"/>
  <c r="X34" i="7" s="1"/>
  <c r="M34" i="7"/>
  <c r="L34" i="7"/>
  <c r="I34" i="7"/>
  <c r="U33" i="7"/>
  <c r="T33" i="7"/>
  <c r="S33" i="7"/>
  <c r="V33" i="7" s="1"/>
  <c r="Q33" i="7"/>
  <c r="X33" i="7" s="1"/>
  <c r="M33" i="7"/>
  <c r="L33" i="7"/>
  <c r="I33" i="7"/>
  <c r="U32" i="7"/>
  <c r="T32" i="7"/>
  <c r="S32" i="7"/>
  <c r="V32" i="7" s="1"/>
  <c r="Q32" i="7"/>
  <c r="X32" i="7" s="1"/>
  <c r="M32" i="7"/>
  <c r="L32" i="7"/>
  <c r="I32" i="7"/>
  <c r="X27" i="7"/>
  <c r="W27" i="7"/>
  <c r="W24" i="7"/>
  <c r="U24" i="7"/>
  <c r="T24" i="7"/>
  <c r="Q24" i="7"/>
  <c r="O24" i="7"/>
  <c r="M24" i="7"/>
  <c r="L24" i="7"/>
  <c r="K24" i="7"/>
  <c r="N24" i="7" s="1"/>
  <c r="I24" i="7"/>
  <c r="P24" i="7" s="1"/>
  <c r="W23" i="7"/>
  <c r="U23" i="7"/>
  <c r="T23" i="7"/>
  <c r="S23" i="7"/>
  <c r="V23" i="7" s="1"/>
  <c r="Q23" i="7"/>
  <c r="X23" i="7" s="1"/>
  <c r="O23" i="7"/>
  <c r="M23" i="7"/>
  <c r="L23" i="7"/>
  <c r="I23" i="7"/>
  <c r="W22" i="7"/>
  <c r="U22" i="7"/>
  <c r="T22" i="7"/>
  <c r="S22" i="7"/>
  <c r="V22" i="7" s="1"/>
  <c r="Q22" i="7"/>
  <c r="O22" i="7"/>
  <c r="M22" i="7"/>
  <c r="L22" i="7"/>
  <c r="I22" i="7"/>
  <c r="W21" i="7"/>
  <c r="U21" i="7"/>
  <c r="T21" i="7"/>
  <c r="S21" i="7"/>
  <c r="V21" i="7" s="1"/>
  <c r="Q21" i="7"/>
  <c r="X21" i="7" s="1"/>
  <c r="M21" i="7"/>
  <c r="L21" i="7"/>
  <c r="I21" i="7"/>
  <c r="U20" i="7"/>
  <c r="T20" i="7"/>
  <c r="S20" i="7"/>
  <c r="V20" i="7" s="1"/>
  <c r="Q20" i="7"/>
  <c r="X20" i="7" s="1"/>
  <c r="M20" i="7"/>
  <c r="L20" i="7"/>
  <c r="I20" i="7"/>
  <c r="C46" i="7"/>
  <c r="C71" i="7" s="1"/>
  <c r="C77" i="7" s="1"/>
  <c r="C78" i="7" s="1"/>
  <c r="C76" i="7"/>
  <c r="C63" i="7"/>
  <c r="C53" i="6"/>
  <c r="C52" i="6"/>
  <c r="C39" i="6"/>
  <c r="W12" i="7"/>
  <c r="U12" i="7"/>
  <c r="T12" i="7"/>
  <c r="R12" i="7"/>
  <c r="S12" i="7" s="1"/>
  <c r="V12" i="7" s="1"/>
  <c r="Q12" i="7"/>
  <c r="X12" i="7" s="1"/>
  <c r="O12" i="7"/>
  <c r="M12" i="7"/>
  <c r="L12" i="7"/>
  <c r="J12" i="7"/>
  <c r="K12" i="7" s="1"/>
  <c r="N12" i="7" s="1"/>
  <c r="I12" i="7"/>
  <c r="W11" i="7"/>
  <c r="U11" i="7"/>
  <c r="T11" i="7"/>
  <c r="R11" i="7"/>
  <c r="S11" i="7" s="1"/>
  <c r="V11" i="7" s="1"/>
  <c r="Q11" i="7"/>
  <c r="X11" i="7" s="1"/>
  <c r="O11" i="7"/>
  <c r="M11" i="7"/>
  <c r="L11" i="7"/>
  <c r="K11" i="7"/>
  <c r="N11" i="7" s="1"/>
  <c r="J11" i="7"/>
  <c r="I11" i="7"/>
  <c r="P11" i="7" s="1"/>
  <c r="W10" i="7"/>
  <c r="U10" i="7"/>
  <c r="T10" i="7"/>
  <c r="R10" i="7"/>
  <c r="S10" i="7" s="1"/>
  <c r="V10" i="7" s="1"/>
  <c r="Q10" i="7"/>
  <c r="O10" i="7"/>
  <c r="M10" i="7"/>
  <c r="L10" i="7"/>
  <c r="J10" i="7"/>
  <c r="K10" i="7" s="1"/>
  <c r="N10" i="7" s="1"/>
  <c r="I10" i="7"/>
  <c r="P10" i="7" s="1"/>
  <c r="W9" i="7"/>
  <c r="U9" i="7"/>
  <c r="T9" i="7"/>
  <c r="S9" i="7"/>
  <c r="V9" i="7" s="1"/>
  <c r="R9" i="7"/>
  <c r="Q9" i="7"/>
  <c r="X9" i="7" s="1"/>
  <c r="O9" i="7"/>
  <c r="M9" i="7"/>
  <c r="L9" i="7"/>
  <c r="J9" i="7"/>
  <c r="K9" i="7" s="1"/>
  <c r="N9" i="7" s="1"/>
  <c r="I9" i="7"/>
  <c r="W8" i="7"/>
  <c r="U8" i="7"/>
  <c r="T8" i="7"/>
  <c r="S8" i="7"/>
  <c r="V8" i="7" s="1"/>
  <c r="R8" i="7"/>
  <c r="Q8" i="7"/>
  <c r="O8" i="7"/>
  <c r="M8" i="7"/>
  <c r="L8" i="7"/>
  <c r="J8" i="7"/>
  <c r="K8" i="7" s="1"/>
  <c r="N8" i="7" s="1"/>
  <c r="I8" i="7"/>
  <c r="P8" i="7" s="1"/>
  <c r="W7" i="7"/>
  <c r="U7" i="7"/>
  <c r="T7" i="7"/>
  <c r="S7" i="7"/>
  <c r="V7" i="7" s="1"/>
  <c r="R7" i="7"/>
  <c r="Q7" i="7"/>
  <c r="X7" i="7" s="1"/>
  <c r="O7" i="7"/>
  <c r="M7" i="7"/>
  <c r="L7" i="7"/>
  <c r="J7" i="7"/>
  <c r="K7" i="7" s="1"/>
  <c r="N7" i="7" s="1"/>
  <c r="I7" i="7"/>
  <c r="W6" i="7"/>
  <c r="W15" i="7" s="1"/>
  <c r="U6" i="7"/>
  <c r="T6" i="7"/>
  <c r="S6" i="7"/>
  <c r="V6" i="7" s="1"/>
  <c r="R6" i="7"/>
  <c r="Q6" i="7"/>
  <c r="X6" i="7" s="1"/>
  <c r="O6" i="7"/>
  <c r="M6" i="7"/>
  <c r="L6" i="7"/>
  <c r="J6" i="7"/>
  <c r="K6" i="7" s="1"/>
  <c r="N6" i="7" s="1"/>
  <c r="I6" i="7"/>
  <c r="P6" i="7" s="1"/>
  <c r="U10" i="6"/>
  <c r="U11" i="6"/>
  <c r="T12" i="6"/>
  <c r="T11" i="6"/>
  <c r="T10" i="6"/>
  <c r="T9" i="6"/>
  <c r="T8" i="6"/>
  <c r="T7" i="6"/>
  <c r="T6" i="6"/>
  <c r="U12" i="6"/>
  <c r="Q12" i="6"/>
  <c r="W12" i="6" s="1"/>
  <c r="M12" i="6"/>
  <c r="L12" i="6"/>
  <c r="I12" i="6"/>
  <c r="Q11" i="6"/>
  <c r="M11" i="6"/>
  <c r="L11" i="6"/>
  <c r="K11" i="6"/>
  <c r="I11" i="6"/>
  <c r="O11" i="6" s="1"/>
  <c r="Q10" i="6"/>
  <c r="M10" i="6"/>
  <c r="L10" i="6"/>
  <c r="I10" i="6"/>
  <c r="O10" i="6" s="1"/>
  <c r="U9" i="6"/>
  <c r="S9" i="6"/>
  <c r="Q9" i="6"/>
  <c r="M9" i="6"/>
  <c r="L9" i="6"/>
  <c r="I9" i="6"/>
  <c r="O9" i="6" s="1"/>
  <c r="U8" i="6"/>
  <c r="S8" i="6"/>
  <c r="Q8" i="6"/>
  <c r="M8" i="6"/>
  <c r="L8" i="6"/>
  <c r="I8" i="6"/>
  <c r="O8" i="6" s="1"/>
  <c r="U7" i="6"/>
  <c r="S7" i="6"/>
  <c r="Q7" i="6"/>
  <c r="M7" i="6"/>
  <c r="L7" i="6"/>
  <c r="I7" i="6"/>
  <c r="O7" i="6" s="1"/>
  <c r="S6" i="6"/>
  <c r="Q6" i="6"/>
  <c r="U6" i="6"/>
  <c r="M6" i="6"/>
  <c r="L6" i="6"/>
  <c r="I6" i="6"/>
  <c r="P36" i="7" l="1"/>
  <c r="P32" i="7"/>
  <c r="R32" i="7"/>
  <c r="J33" i="7"/>
  <c r="K33" i="7" s="1"/>
  <c r="N33" i="7" s="1"/>
  <c r="P33" i="7" s="1"/>
  <c r="R33" i="7"/>
  <c r="R34" i="7"/>
  <c r="J35" i="7"/>
  <c r="K35" i="7" s="1"/>
  <c r="N35" i="7" s="1"/>
  <c r="P35" i="7" s="1"/>
  <c r="R35" i="7"/>
  <c r="R36" i="7"/>
  <c r="S36" i="7" s="1"/>
  <c r="V36" i="7" s="1"/>
  <c r="X36" i="7" s="1"/>
  <c r="X39" i="7" s="1"/>
  <c r="O32" i="7"/>
  <c r="W32" i="7"/>
  <c r="O33" i="7"/>
  <c r="W33" i="7"/>
  <c r="O34" i="7"/>
  <c r="W34" i="7"/>
  <c r="O35" i="7"/>
  <c r="W35" i="7"/>
  <c r="O36" i="7"/>
  <c r="W36" i="7"/>
  <c r="J32" i="7"/>
  <c r="K32" i="7" s="1"/>
  <c r="N32" i="7" s="1"/>
  <c r="J34" i="7"/>
  <c r="K34" i="7" s="1"/>
  <c r="N34" i="7" s="1"/>
  <c r="P34" i="7" s="1"/>
  <c r="J36" i="7"/>
  <c r="X28" i="7"/>
  <c r="X22" i="7"/>
  <c r="J21" i="7"/>
  <c r="K21" i="7" s="1"/>
  <c r="N21" i="7" s="1"/>
  <c r="P21" i="7" s="1"/>
  <c r="R21" i="7"/>
  <c r="J22" i="7"/>
  <c r="K22" i="7" s="1"/>
  <c r="N22" i="7" s="1"/>
  <c r="P22" i="7" s="1"/>
  <c r="R22" i="7"/>
  <c r="J23" i="7"/>
  <c r="K23" i="7" s="1"/>
  <c r="N23" i="7" s="1"/>
  <c r="P23" i="7" s="1"/>
  <c r="R23" i="7"/>
  <c r="J24" i="7"/>
  <c r="R24" i="7"/>
  <c r="S24" i="7" s="1"/>
  <c r="V24" i="7" s="1"/>
  <c r="X24" i="7" s="1"/>
  <c r="O21" i="7"/>
  <c r="P20" i="7"/>
  <c r="J20" i="7"/>
  <c r="K20" i="7" s="1"/>
  <c r="N20" i="7" s="1"/>
  <c r="R20" i="7"/>
  <c r="O20" i="7"/>
  <c r="W20" i="7"/>
  <c r="C51" i="7"/>
  <c r="C56" i="7"/>
  <c r="C62" i="7" s="1"/>
  <c r="C64" i="7" s="1"/>
  <c r="C54" i="6"/>
  <c r="R6" i="6"/>
  <c r="V9" i="6"/>
  <c r="X9" i="6" s="1"/>
  <c r="R8" i="6"/>
  <c r="R10" i="6"/>
  <c r="S10" i="6" s="1"/>
  <c r="J6" i="6"/>
  <c r="K6" i="6" s="1"/>
  <c r="N6" i="6" s="1"/>
  <c r="P6" i="6" s="1"/>
  <c r="R9" i="6"/>
  <c r="R7" i="6"/>
  <c r="N11" i="6"/>
  <c r="P11" i="6" s="1"/>
  <c r="R11" i="6"/>
  <c r="S11" i="6" s="1"/>
  <c r="V11" i="6" s="1"/>
  <c r="X11" i="6" s="1"/>
  <c r="J12" i="6"/>
  <c r="K12" i="6" s="1"/>
  <c r="N12" i="6" s="1"/>
  <c r="P12" i="6" s="1"/>
  <c r="W7" i="6"/>
  <c r="J7" i="6"/>
  <c r="K7" i="6" s="1"/>
  <c r="N7" i="6" s="1"/>
  <c r="P7" i="6" s="1"/>
  <c r="J8" i="6"/>
  <c r="K8" i="6" s="1"/>
  <c r="N8" i="6" s="1"/>
  <c r="P8" i="6" s="1"/>
  <c r="J9" i="6"/>
  <c r="K9" i="6" s="1"/>
  <c r="N9" i="6" s="1"/>
  <c r="P9" i="6" s="1"/>
  <c r="W9" i="6"/>
  <c r="J10" i="6"/>
  <c r="K10" i="6" s="1"/>
  <c r="N10" i="6" s="1"/>
  <c r="P10" i="6" s="1"/>
  <c r="O12" i="6"/>
  <c r="R12" i="6"/>
  <c r="S12" i="6" s="1"/>
  <c r="V12" i="6" s="1"/>
  <c r="X12" i="6" s="1"/>
  <c r="W10" i="6"/>
  <c r="W11" i="6"/>
  <c r="W8" i="6"/>
  <c r="J11" i="6"/>
  <c r="V7" i="6"/>
  <c r="X7" i="6" s="1"/>
  <c r="P9" i="7"/>
  <c r="X10" i="7"/>
  <c r="P12" i="7"/>
  <c r="P7" i="7"/>
  <c r="X8" i="7"/>
  <c r="X15" i="7" s="1"/>
  <c r="X16" i="7" s="1"/>
  <c r="V8" i="6"/>
  <c r="X8" i="6" s="1"/>
  <c r="V10" i="6"/>
  <c r="X10" i="6" s="1"/>
  <c r="V6" i="6"/>
  <c r="X6" i="6" s="1"/>
  <c r="O6" i="6"/>
  <c r="W6" i="6"/>
  <c r="W39" i="7" l="1"/>
  <c r="X40" i="7" s="1"/>
  <c r="W15" i="6"/>
  <c r="X15" i="6"/>
  <c r="X16" i="6" l="1"/>
  <c r="C22" i="6" s="1"/>
  <c r="C47" i="6" s="1"/>
  <c r="C32" i="6" l="1"/>
  <c r="C38" i="6" s="1"/>
  <c r="C40" i="6" s="1"/>
  <c r="C27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tc={32C9FA00-0564-4E81-9272-0A9C7EDC9A77}</author>
    <author>tc={73B8800D-B701-4577-B29A-5B626EEF9187}</author>
    <author>tc={1F9877CE-693B-4BB1-B1D3-5A03C0E1608C}</author>
    <author>tc={3FA004D9-D925-4FFF-9935-6511D8CA42B8}</author>
    <author>tc={3B06EF43-4D8B-4A45-A2BD-A0C4EBA31579}</author>
    <author>tc={FD623907-AD01-4768-8AB5-7826513BD7FA}</author>
    <author>tc={A57EA8F7-1875-47FD-BCE7-1522D46859AB}</author>
    <author>tc={5F19AE90-252B-4B18-B45E-E21FA2A54FD5}</author>
    <author>tc={116481C9-38DA-44E9-9ABC-E67071DF5406}</author>
    <author>tc={3BD4942F-C0FE-4978-92AF-286D6297E7FD}</author>
    <author>tc={ECA0E3B1-2C26-4975-ABB8-CF449EFBE5AD}</author>
    <author>tc={7F323771-6E34-4766-9E11-7BBD9DA1340D}</author>
    <author>tc={4A2CA64C-B4B0-4E97-8B7E-8328A980EB46}</author>
    <author>tc={459E23F7-082B-4C00-8010-29B521A8C567}</author>
    <author>tc={B908F41D-1456-424D-B55B-355F4ABB8FE6}</author>
    <author>tc={2801A99B-BF95-4437-98E7-129D3B5601CD}</author>
    <author>tc={21FEB24A-8C25-494C-A3FB-D62DDF97DC08}</author>
    <author>tc={D93F6BF2-4D1E-414E-B252-7378C2156511}</author>
    <author>tc={0A1E4840-B2B2-4810-82D4-7B576123ECDC}</author>
    <author>tc={BC1F5152-2DC4-4981-8B99-DB0967963183}</author>
    <author>tc={36626983-2DFD-43AE-9589-32B54E1F6E26}</author>
    <author>tc={BB1B1955-2251-4FC2-A5B1-68FF33A60EE6}</author>
    <author>tc={A589D473-C845-4A28-94F7-36F0C4DC54E2}</author>
    <author>tc={11AE090F-F8D1-442F-BD6C-544EBF90D4D8}</author>
    <author>tc={719084B7-EC7A-4D8C-8EC4-F5A0C078F2E2}</author>
    <author>tc={837CD478-6665-4B57-B33E-075DE941E4F8}</author>
    <author>tc={6B89B522-8FA8-4F86-8E38-02AB0EEB37D4}</author>
    <author>tc={D4331AC9-15D5-445F-9E21-16CFA883B8BE}</author>
    <author>tc={DE33364C-E8A3-42D8-BB0B-A15FD99368E7}</author>
    <author>tc={B29225BE-F5E0-453E-8938-23C73E4CC2DA}</author>
    <author>tc={ED5F3412-C4C3-4498-93E4-43C022340A65}</author>
    <author>tc={4561FCA6-A0E0-4E20-A903-389C81FC7A4A}</author>
    <author>tc={662BA23A-D5CA-4E40-BBF1-5B577CD78245}</author>
    <author>tc={44C710CE-D707-474C-870F-35B778A2B94E}</author>
    <author>tc={8142FA3C-E891-4244-99E2-2021F6D4A459}</author>
    <author>tc={EF681092-4770-464A-AC8D-C344B55063AA}</author>
    <author>tc={D2AD03B4-2DA5-4780-83DB-53FB38628C01}</author>
    <author>tc={E8BF0954-4EFF-47A4-A00A-20BB93192A6C}</author>
  </authors>
  <commentList>
    <comment ref="B5" authorId="0" shapeId="0" xr:uid="{32C9FA00-0564-4E81-9272-0A9C7EDC9A77}">
      <text>
        <t>[Threaded comment]
Your version of Excel allows you to read this threaded comment; however, any edits to it will get removed if the file is opened in a newer version of Excel. Learn more: https://go.microsoft.com/fwlink/?linkid=870924
Comment:
    It this was for an item of plant without a length (eg a transformer) it would simply be the number of pieces of that sort of plant (1 in most cases).</t>
      </text>
    </comment>
    <comment ref="D5" authorId="1" shapeId="0" xr:uid="{73B8800D-B701-4577-B29A-5B626EEF9187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this value is always 0 (capital expenditure is at time of build)</t>
      </text>
    </comment>
    <comment ref="E5" authorId="2" shapeId="0" xr:uid="{1F9877CE-693B-4BB1-B1D3-5A03C0E1608C}">
      <text>
        <t>[Threaded comment]
Your version of Excel allows you to read this threaded comment; however, any edits to it will get removed if the file is opened in a newer version of Excel. Learn more: https://go.microsoft.com/fwlink/?linkid=870924
Comment:
    Zero for new build assets, expected life of the initial asset (if maintained in accordance with good industry practice) for refurbished assets</t>
      </text>
    </comment>
    <comment ref="G5" authorId="3" shapeId="0" xr:uid="{3FA004D9-D925-4FFF-9935-6511D8CA42B8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there was no circuit before the investment, therefore the inital capacity is always 0</t>
      </text>
    </comment>
    <comment ref="J5" authorId="4" shapeId="0" xr:uid="{3B06EF43-4D8B-4A45-A2BD-A0C4EBA31579}">
      <text>
        <t>[Threaded comment]
Your version of Excel allows you to read this threaded comment; however, any edits to it will get removed if the file is opened in a newer version of Excel. Learn more: https://go.microsoft.com/fwlink/?linkid=870924
Comment:
    Didn't use MEA approach.  High or low incremental costs should be smoothed by also including historic costs in final EC</t>
      </text>
    </comment>
    <comment ref="K5" authorId="5" shapeId="0" xr:uid="{FD623907-AD01-4768-8AB5-7826513BD7FA}">
      <text>
        <t>[Threaded comment]
Your version of Excel allows you to read this threaded comment; however, any edits to it will get removed if the file is opened in a newer version of Excel. Learn more: https://go.microsoft.com/fwlink/?linkid=870924
Comment:
    Incremental MW used</t>
      </text>
    </comment>
    <comment ref="L5" authorId="6" shapeId="0" xr:uid="{A57EA8F7-1875-47FD-BCE7-1522D46859AB}">
      <text>
        <t>[Threaded comment]
Your version of Excel allows you to read this threaded comment; however, any edits to it will get removed if the file is opened in a newer version of Excel. Learn more: https://go.microsoft.com/fwlink/?linkid=870924
Comment:
    Adjusted for years additional MW are provided for</t>
      </text>
    </comment>
    <comment ref="M5" authorId="7" shapeId="0" xr:uid="{5F19AE90-252B-4B18-B45E-E21FA2A54FD5}">
      <text>
        <t>[Threaded comment]
Your version of Excel allows you to read this threaded comment; however, any edits to it will get removed if the file is opened in a newer version of Excel. Learn more: https://go.microsoft.com/fwlink/?linkid=870924
Comment:
    Crude scaling to reflect overheads not allocated for 50 years</t>
      </text>
    </comment>
    <comment ref="T5" authorId="8" shapeId="0" xr:uid="{116481C9-38DA-44E9-9ABC-E67071DF5406}">
      <text>
        <t>[Threaded comment]
Your version of Excel allows you to read this threaded comment; however, any edits to it will get removed if the file is opened in a newer version of Excel. Learn more: https://go.microsoft.com/fwlink/?linkid=870924
Comment:
    Adjusted to reflect additional years provided by investment</t>
      </text>
    </comment>
    <comment ref="U5" authorId="9" shapeId="0" xr:uid="{3BD4942F-C0FE-4978-92AF-286D6297E7FD}">
      <text>
        <t>[Threaded comment]
Your version of Excel allows you to read this threaded comment; however, any edits to it will get removed if the file is opened in a newer version of Excel. Learn more: https://go.microsoft.com/fwlink/?linkid=870924
Comment:
    Crude scaling to reflect overheads not allocated for 50 years</t>
      </text>
    </comment>
    <comment ref="V5" authorId="10" shapeId="0" xr:uid="{ECA0E3B1-2C26-4975-ABB8-CF449EFBE5AD}">
      <text>
        <t>[Threaded comment]
Your version of Excel allows you to read this threaded comment; however, any edits to it will get removed if the file is opened in a newer version of Excel. Learn more: https://go.microsoft.com/fwlink/?linkid=870924
Comment:
    Also includes an allowance for TO overheads in accordance with CUSC 14.15.67</t>
      </text>
    </comment>
    <comment ref="A10" authorId="11" shapeId="0" xr:uid="{7F323771-6E34-4766-9E11-7BBD9DA1340D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A11" authorId="12" shapeId="0" xr:uid="{4A2CA64C-B4B0-4E97-8B7E-8328A980EB46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A12" authorId="13" shapeId="0" xr:uid="{459E23F7-082B-4C00-8010-29B521A8C567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B19" authorId="14" shapeId="0" xr:uid="{B908F41D-1456-424D-B55B-355F4ABB8FE6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A transformer is always a single item (this value is always 1)
</t>
      </text>
    </comment>
    <comment ref="D19" authorId="15" shapeId="0" xr:uid="{2801A99B-BF95-4437-98E7-129D3B5601CD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this value is always 0 (capital expenditure is at time of build)</t>
      </text>
    </comment>
    <comment ref="E19" authorId="16" shapeId="0" xr:uid="{21FEB24A-8C25-494C-A3FB-D62DDF97DC08}">
      <text>
        <t>[Threaded comment]
Your version of Excel allows you to read this threaded comment; however, any edits to it will get removed if the file is opened in a newer version of Excel. Learn more: https://go.microsoft.com/fwlink/?linkid=870924
Comment:
    Zero for new build assets, expected life of the initial asset (if maintained in accordance with good industry practice) for refurbished assets</t>
      </text>
    </comment>
    <comment ref="G19" authorId="17" shapeId="0" xr:uid="{D93F6BF2-4D1E-414E-B252-7378C2156511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there was no circuit before the investment, therefore the inital capacity is always 0</t>
      </text>
    </comment>
    <comment ref="J19" authorId="18" shapeId="0" xr:uid="{0A1E4840-B2B2-4810-82D4-7B576123ECDC}">
      <text>
        <t>[Threaded comment]
Your version of Excel allows you to read this threaded comment; however, any edits to it will get removed if the file is opened in a newer version of Excel. Learn more: https://go.microsoft.com/fwlink/?linkid=870924
Comment:
    Didn't use MEA approach.  High or low incremental costs should be smoothed by also including historic costs in final EC</t>
      </text>
    </comment>
    <comment ref="K19" authorId="19" shapeId="0" xr:uid="{BC1F5152-2DC4-4981-8B99-DB0967963183}">
      <text>
        <t>[Threaded comment]
Your version of Excel allows you to read this threaded comment; however, any edits to it will get removed if the file is opened in a newer version of Excel. Learn more: https://go.microsoft.com/fwlink/?linkid=870924
Comment:
    Incremental MW used</t>
      </text>
    </comment>
    <comment ref="L19" authorId="20" shapeId="0" xr:uid="{36626983-2DFD-43AE-9589-32B54E1F6E26}">
      <text>
        <t>[Threaded comment]
Your version of Excel allows you to read this threaded comment; however, any edits to it will get removed if the file is opened in a newer version of Excel. Learn more: https://go.microsoft.com/fwlink/?linkid=870924
Comment:
    Adjusted for years additional MW are provided for</t>
      </text>
    </comment>
    <comment ref="M19" authorId="21" shapeId="0" xr:uid="{BB1B1955-2251-4FC2-A5B1-68FF33A60EE6}">
      <text>
        <t>[Threaded comment]
Your version of Excel allows you to read this threaded comment; however, any edits to it will get removed if the file is opened in a newer version of Excel. Learn more: https://go.microsoft.com/fwlink/?linkid=870924
Comment:
    Crude scaling to reflect overheads not allocated for 50 years</t>
      </text>
    </comment>
    <comment ref="T19" authorId="22" shapeId="0" xr:uid="{A589D473-C845-4A28-94F7-36F0C4DC54E2}">
      <text>
        <t>[Threaded comment]
Your version of Excel allows you to read this threaded comment; however, any edits to it will get removed if the file is opened in a newer version of Excel. Learn more: https://go.microsoft.com/fwlink/?linkid=870924
Comment:
    Adjusted to reflect additional years provided by investment</t>
      </text>
    </comment>
    <comment ref="U19" authorId="23" shapeId="0" xr:uid="{11AE090F-F8D1-442F-BD6C-544EBF90D4D8}">
      <text>
        <t>[Threaded comment]
Your version of Excel allows you to read this threaded comment; however, any edits to it will get removed if the file is opened in a newer version of Excel. Learn more: https://go.microsoft.com/fwlink/?linkid=870924
Comment:
    Crude scaling to reflect overheads not allocated for 50 years</t>
      </text>
    </comment>
    <comment ref="V19" authorId="24" shapeId="0" xr:uid="{719084B7-EC7A-4D8C-8EC4-F5A0C078F2E2}">
      <text>
        <t>[Threaded comment]
Your version of Excel allows you to read this threaded comment; however, any edits to it will get removed if the file is opened in a newer version of Excel. Learn more: https://go.microsoft.com/fwlink/?linkid=870924
Comment:
    Also includes an allowance for TO overheads in accordance with CUSC 14.15.67</t>
      </text>
    </comment>
    <comment ref="B31" authorId="25" shapeId="0" xr:uid="{837CD478-6665-4B57-B33E-075DE941E4F8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A circuit breaker is always a single item (this value is always 1)
</t>
      </text>
    </comment>
    <comment ref="D31" authorId="26" shapeId="0" xr:uid="{6B89B522-8FA8-4F86-8E38-02AB0EEB37D4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build, this value is always 0 (capital expenditure is at time of build)</t>
      </text>
    </comment>
    <comment ref="E31" authorId="27" shapeId="0" xr:uid="{D4331AC9-15D5-445F-9E21-16CFA883B8BE}">
      <text>
        <t>[Threaded comment]
Your version of Excel allows you to read this threaded comment; however, any edits to it will get removed if the file is opened in a newer version of Excel. Learn more: https://go.microsoft.com/fwlink/?linkid=870924
Comment:
    Zero for new build assets, expected life of the initial asset (if maintained in accordance with good industry practice) for refurbished assets</t>
      </text>
    </comment>
    <comment ref="G31" authorId="28" shapeId="0" xr:uid="{DE33364C-E8A3-42D8-BB0B-A15FD99368E7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bay, there was no circuit before the investment, therefore the inital capacity is always 0</t>
      </text>
    </comment>
    <comment ref="H31" authorId="29" shapeId="0" xr:uid="{B29225BE-F5E0-453E-8938-23C73E4CC2DA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For a substation bay, thermal capacity is not the limiting factor. To ensure proper cost recovery, the capacity is the average loading (from the transport model of a 275 kV circuit). For this example, 847 MVA is assumed
</t>
      </text>
    </comment>
    <comment ref="J31" authorId="30" shapeId="0" xr:uid="{ED5F3412-C4C3-4498-93E4-43C022340A65}">
      <text>
        <t>[Threaded comment]
Your version of Excel allows you to read this threaded comment; however, any edits to it will get removed if the file is opened in a newer version of Excel. Learn more: https://go.microsoft.com/fwlink/?linkid=870924
Comment:
    Didn't use MEA approach.  High or low incremental costs should be smoothed by also including historic costs in final EC</t>
      </text>
    </comment>
    <comment ref="K31" authorId="31" shapeId="0" xr:uid="{4561FCA6-A0E0-4E20-A903-389C81FC7A4A}">
      <text>
        <t>[Threaded comment]
Your version of Excel allows you to read this threaded comment; however, any edits to it will get removed if the file is opened in a newer version of Excel. Learn more: https://go.microsoft.com/fwlink/?linkid=870924
Comment:
    Incremental MW used</t>
      </text>
    </comment>
    <comment ref="L31" authorId="32" shapeId="0" xr:uid="{662BA23A-D5CA-4E40-BBF1-5B577CD78245}">
      <text>
        <t>[Threaded comment]
Your version of Excel allows you to read this threaded comment; however, any edits to it will get removed if the file is opened in a newer version of Excel. Learn more: https://go.microsoft.com/fwlink/?linkid=870924
Comment:
    Adjusted for years additional MW are provided for</t>
      </text>
    </comment>
    <comment ref="M31" authorId="33" shapeId="0" xr:uid="{44C710CE-D707-474C-870F-35B778A2B94E}">
      <text>
        <t>[Threaded comment]
Your version of Excel allows you to read this threaded comment; however, any edits to it will get removed if the file is opened in a newer version of Excel. Learn more: https://go.microsoft.com/fwlink/?linkid=870924
Comment:
    Crude scaling to reflect overheads not allocated for 50 years</t>
      </text>
    </comment>
    <comment ref="T31" authorId="34" shapeId="0" xr:uid="{8142FA3C-E891-4244-99E2-2021F6D4A459}">
      <text>
        <t>[Threaded comment]
Your version of Excel allows you to read this threaded comment; however, any edits to it will get removed if the file is opened in a newer version of Excel. Learn more: https://go.microsoft.com/fwlink/?linkid=870924
Comment:
    Adjusted to reflect additional years provided by investment</t>
      </text>
    </comment>
    <comment ref="U31" authorId="35" shapeId="0" xr:uid="{EF681092-4770-464A-AC8D-C344B55063AA}">
      <text>
        <t>[Threaded comment]
Your version of Excel allows you to read this threaded comment; however, any edits to it will get removed if the file is opened in a newer version of Excel. Learn more: https://go.microsoft.com/fwlink/?linkid=870924
Comment:
    Crude scaling to reflect overheads not allocated for 50 years</t>
      </text>
    </comment>
    <comment ref="V31" authorId="36" shapeId="0" xr:uid="{D2AD03B4-2DA5-4780-83DB-53FB38628C01}">
      <text>
        <t>[Threaded comment]
Your version of Excel allows you to read this threaded comment; however, any edits to it will get removed if the file is opened in a newer version of Excel. Learn more: https://go.microsoft.com/fwlink/?linkid=870924
Comment:
    Also includes an allowance for TO overheads in accordance with CUSC 14.15.67</t>
      </text>
    </comment>
    <comment ref="G36" authorId="37" shapeId="0" xr:uid="{E8BF0954-4EFF-47A4-A00A-20BB93192A6C}">
      <text>
        <t>[Threaded comment]
Your version of Excel allows you to read this threaded comment; however, any edits to it will get removed if the file is opened in a newer version of Excel. Learn more: https://go.microsoft.com/fwlink/?linkid=870924
Comment:
    847 MVA used as this is the "nominal" capacity of a bay.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tc={2E493AE4-87C8-4161-87AB-8D118172CD93}</author>
    <author>tc={E67598E8-94D7-4B98-BC52-2926A8F3C56F}</author>
    <author>tc={88F17733-E222-4573-BA65-A930BB1D3C19}</author>
    <author>tc={01DC099A-791B-44D6-93A0-AC406B6C28C3}</author>
    <author>tc={D301DE26-599F-4108-A401-9A4552F3DF6D}</author>
    <author>tc={9B4C4243-387F-4366-9DBD-443CC89859AB}</author>
    <author>tc={F38D9C72-247E-4B02-93D0-E34FCA737FA7}</author>
    <author>tc={A6E7F034-B31C-4AED-9DD6-CAD9BFEE7036}</author>
    <author>tc={9C53B29D-DC6B-45A6-9575-F2050D763B38}</author>
    <author>tc={A3386034-A843-495D-B618-33566B920ECB}</author>
    <author>tc={6968C0B6-7AC5-4413-A663-FE12D5AE332B}</author>
    <author>tc={3ED3A951-846E-4BDA-A37F-216508640B79}</author>
    <author>tc={7CB8E48F-D2D3-4A12-BE62-7F675AE89EB3}</author>
    <author>tc={E566F61E-7DCC-4FEE-8B4C-17BED675850A}</author>
  </authors>
  <commentList>
    <comment ref="B5" authorId="0" shapeId="0" xr:uid="{2E493AE4-87C8-4161-87AB-8D118172CD93}">
      <text>
        <t>[Threaded comment]
Your version of Excel allows you to read this threaded comment; however, any edits to it will get removed if the file is opened in a newer version of Excel. Learn more: https://go.microsoft.com/fwlink/?linkid=870924
Comment:
    It this was for an item of plant without a length (eg a transformer) it would simply be the number of pieces of that sort of plant (1 in most cases).</t>
      </text>
    </comment>
    <comment ref="D5" authorId="1" shapeId="0" xr:uid="{E67598E8-94D7-4B98-BC52-2926A8F3C56F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this value is always 0 (capital expenditure is at time of build)</t>
      </text>
    </comment>
    <comment ref="E5" authorId="2" shapeId="0" xr:uid="{88F17733-E222-4573-BA65-A930BB1D3C19}">
      <text>
        <t>[Threaded comment]
Your version of Excel allows you to read this threaded comment; however, any edits to it will get removed if the file is opened in a newer version of Excel. Learn more: https://go.microsoft.com/fwlink/?linkid=870924
Comment:
    Zero for new build assets, expected life of the initial asset (if maintained in accordance with good industry practice) for refurbished assets</t>
      </text>
    </comment>
    <comment ref="G5" authorId="3" shapeId="0" xr:uid="{01DC099A-791B-44D6-93A0-AC406B6C28C3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there was no circuit before the investment, therefore the inital capacity is always 0</t>
      </text>
    </comment>
    <comment ref="J5" authorId="4" shapeId="0" xr:uid="{D301DE26-599F-4108-A401-9A4552F3DF6D}">
      <text>
        <t>[Threaded comment]
Your version of Excel allows you to read this threaded comment; however, any edits to it will get removed if the file is opened in a newer version of Excel. Learn more: https://go.microsoft.com/fwlink/?linkid=870924
Comment:
    Didn't use MEA approach.  High or low incremental costs should be smoothed by also including historic costs in final EC</t>
      </text>
    </comment>
    <comment ref="K5" authorId="5" shapeId="0" xr:uid="{9B4C4243-387F-4366-9DBD-443CC89859AB}">
      <text>
        <t>[Threaded comment]
Your version of Excel allows you to read this threaded comment; however, any edits to it will get removed if the file is opened in a newer version of Excel. Learn more: https://go.microsoft.com/fwlink/?linkid=870924
Comment:
    Incremental MW used</t>
      </text>
    </comment>
    <comment ref="L5" authorId="6" shapeId="0" xr:uid="{F38D9C72-247E-4B02-93D0-E34FCA737FA7}">
      <text>
        <t>[Threaded comment]
Your version of Excel allows you to read this threaded comment; however, any edits to it will get removed if the file is opened in a newer version of Excel. Learn more: https://go.microsoft.com/fwlink/?linkid=870924
Comment:
    Adjusted for years additional MW are provided for</t>
      </text>
    </comment>
    <comment ref="M5" authorId="7" shapeId="0" xr:uid="{A6E7F034-B31C-4AED-9DD6-CAD9BFEE7036}">
      <text>
        <t>[Threaded comment]
Your version of Excel allows you to read this threaded comment; however, any edits to it will get removed if the file is opened in a newer version of Excel. Learn more: https://go.microsoft.com/fwlink/?linkid=870924
Comment:
    Crude scaling to reflect overheads not allocated for 50 years</t>
      </text>
    </comment>
    <comment ref="T5" authorId="8" shapeId="0" xr:uid="{9C53B29D-DC6B-45A6-9575-F2050D763B38}">
      <text>
        <t>[Threaded comment]
Your version of Excel allows you to read this threaded comment; however, any edits to it will get removed if the file is opened in a newer version of Excel. Learn more: https://go.microsoft.com/fwlink/?linkid=870924
Comment:
    Adjusted to reflect additional years provided by investment</t>
      </text>
    </comment>
    <comment ref="U5" authorId="9" shapeId="0" xr:uid="{A3386034-A843-495D-B618-33566B920ECB}">
      <text>
        <t>[Threaded comment]
Your version of Excel allows you to read this threaded comment; however, any edits to it will get removed if the file is opened in a newer version of Excel. Learn more: https://go.microsoft.com/fwlink/?linkid=870924
Comment:
    Crude scaling to reflect overheads not allocated for 50 years</t>
      </text>
    </comment>
    <comment ref="V5" authorId="10" shapeId="0" xr:uid="{6968C0B6-7AC5-4413-A663-FE12D5AE332B}">
      <text>
        <t>[Threaded comment]
Your version of Excel allows you to read this threaded comment; however, any edits to it will get removed if the file is opened in a newer version of Excel. Learn more: https://go.microsoft.com/fwlink/?linkid=870924
Comment:
    Also includes an allowance for TO overheads in accordance with CUSC 14.15.67</t>
      </text>
    </comment>
    <comment ref="A10" authorId="11" shapeId="0" xr:uid="{3ED3A951-846E-4BDA-A37F-216508640B79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A11" authorId="12" shapeId="0" xr:uid="{7CB8E48F-D2D3-4A12-BE62-7F675AE89EB3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A12" authorId="13" shapeId="0" xr:uid="{E566F61E-7DCC-4FEE-8B4C-17BED675850A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</commentList>
</comments>
</file>

<file path=xl/sharedStrings.xml><?xml version="1.0" encoding="utf-8"?>
<sst xmlns="http://schemas.openxmlformats.org/spreadsheetml/2006/main" count="190" uniqueCount="67">
  <si>
    <t>Length (km)</t>
  </si>
  <si>
    <t>Life( years)</t>
  </si>
  <si>
    <t>New Capacity (MVA)</t>
  </si>
  <si>
    <t>Time from initial build (years)</t>
  </si>
  <si>
    <t>Initial Capacity (MVA)</t>
  </si>
  <si>
    <t>New Build 1</t>
  </si>
  <si>
    <t>New Build 3</t>
  </si>
  <si>
    <t>New Build 4</t>
  </si>
  <si>
    <t>Reconductor 1</t>
  </si>
  <si>
    <t>Reconductor 2</t>
  </si>
  <si>
    <t>Reconductor 3</t>
  </si>
  <si>
    <t>Initial life (years)</t>
  </si>
  <si>
    <t>Annualised Cost (GBP/MWkm)</t>
  </si>
  <si>
    <t>WACC</t>
  </si>
  <si>
    <t>Overheads</t>
  </si>
  <si>
    <t>Cost (GBP/MWkm)</t>
  </si>
  <si>
    <t>Capital Cost (GBP)</t>
  </si>
  <si>
    <t>Annualisation Factor</t>
  </si>
  <si>
    <t>Total</t>
  </si>
  <si>
    <t>New Build 2</t>
  </si>
  <si>
    <t>MW km years Cost (GBP)</t>
  </si>
  <si>
    <t>MW km years</t>
  </si>
  <si>
    <t>Incremental MW</t>
  </si>
  <si>
    <t>Incremental MW.years (red area)</t>
  </si>
  <si>
    <t>Incremental Life</t>
  </si>
  <si>
    <t>Incremental MW.years (blue area)</t>
  </si>
  <si>
    <t>Allocated cost to Incremental MW</t>
  </si>
  <si>
    <t>Allocated cost to Incremental life</t>
  </si>
  <si>
    <t xml:space="preserve">Overhead </t>
  </si>
  <si>
    <t>400/275 KV Transformer</t>
  </si>
  <si>
    <t>Units</t>
  </si>
  <si>
    <t>New Build Tx 1</t>
  </si>
  <si>
    <t>New Build Tx 2</t>
  </si>
  <si>
    <t>New Build Tx 3</t>
  </si>
  <si>
    <t>New Build Tx 4</t>
  </si>
  <si>
    <t>Life extension 1</t>
  </si>
  <si>
    <t>275 kV Substation bay</t>
  </si>
  <si>
    <t>New Bay #1</t>
  </si>
  <si>
    <t>New Bay #2</t>
  </si>
  <si>
    <t>New Bay #3</t>
  </si>
  <si>
    <t>New Bay #4</t>
  </si>
  <si>
    <t>Nominal Capacity (MVA)</t>
  </si>
  <si>
    <t>CPI (previous year)</t>
  </si>
  <si>
    <t>Raw Expansion Constant</t>
  </si>
  <si>
    <t>Previous EC</t>
  </si>
  <si>
    <t>Raw EC PC2</t>
  </si>
  <si>
    <t>Raw EC PC1</t>
  </si>
  <si>
    <t>CPI (current year - ie PC2)</t>
  </si>
  <si>
    <t>CPI (PC1)</t>
  </si>
  <si>
    <t>CPI (PC1 - 1 year)</t>
  </si>
  <si>
    <t>EC PC1</t>
  </si>
  <si>
    <t>EC PC2</t>
  </si>
  <si>
    <t>Raw EC PC1 (PC2 money)</t>
  </si>
  <si>
    <t>Previous EC (PC2 money)</t>
  </si>
  <si>
    <t>Raw EC PC3</t>
  </si>
  <si>
    <t>1. On implementation (PC1)</t>
  </si>
  <si>
    <t>2. Next Price Control (PC2)</t>
  </si>
  <si>
    <t>CPI (current year - ie PC3)</t>
  </si>
  <si>
    <t>CPI (PC2)</t>
  </si>
  <si>
    <t>Raw EC PC2 (PC3 money)</t>
  </si>
  <si>
    <t>Raw EC PC1 (PC3 money)</t>
  </si>
  <si>
    <t>EC PC3</t>
  </si>
  <si>
    <t>CPI (current year - ie PC1)</t>
  </si>
  <si>
    <t>Smoothing principles for the first three price controls from implementation</t>
  </si>
  <si>
    <t>3. Ongoing price controls PC3 etc</t>
  </si>
  <si>
    <t>Expansion factor (400/275 Tx)</t>
  </si>
  <si>
    <t>Expansion factor (275 kV bay)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</si>
</sst>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8181"/>
        <bgColor indexed="64"/>
      </patternFill>
    </fill>
    <fill>
      <patternFill patternType="solid">
        <fgColor rgb="FF69BFFF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0" fillId="2" borderId="0" xfId="0" applyFill="1"/>
    <xf numFmtId="3" fontId="0" fillId="2" borderId="0" xfId="0" applyNumberFormat="1" applyFill="1"/>
    <xf numFmtId="3" fontId="0" fillId="0" borderId="0" xfId="0" applyNumberFormat="1"/>
    <xf numFmtId="2" fontId="0" fillId="0" borderId="0" xfId="0" applyNumberFormat="1"/>
    <xf numFmtId="3" fontId="0" fillId="0" borderId="0" xfId="0" applyNumberFormat="1" applyFill="1"/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7" xfId="0" applyBorder="1" applyAlignment="1">
      <alignment wrapText="1"/>
    </xf>
    <xf numFmtId="3" fontId="0" fillId="0" borderId="6" xfId="0" applyNumberFormat="1" applyFill="1" applyBorder="1"/>
    <xf numFmtId="3" fontId="0" fillId="0" borderId="0" xfId="0" applyNumberFormat="1" applyFill="1" applyBorder="1"/>
    <xf numFmtId="164" fontId="0" fillId="0" borderId="0" xfId="0" applyNumberFormat="1" applyBorder="1"/>
    <xf numFmtId="3" fontId="0" fillId="0" borderId="7" xfId="0" applyNumberFormat="1" applyFill="1" applyBorder="1"/>
    <xf numFmtId="3" fontId="0" fillId="0" borderId="0" xfId="0" applyNumberFormat="1" applyBorder="1"/>
    <xf numFmtId="2" fontId="0" fillId="0" borderId="0" xfId="0" applyNumberFormat="1" applyBorder="1"/>
    <xf numFmtId="0" fontId="1" fillId="3" borderId="3" xfId="0" applyFont="1" applyFill="1" applyBorder="1"/>
    <xf numFmtId="0" fontId="0" fillId="3" borderId="4" xfId="0" applyFill="1" applyBorder="1"/>
    <xf numFmtId="0" fontId="0" fillId="3" borderId="5" xfId="0" applyFill="1" applyBorder="1"/>
    <xf numFmtId="0" fontId="1" fillId="4" borderId="3" xfId="0" applyFont="1" applyFill="1" applyBorder="1"/>
    <xf numFmtId="0" fontId="0" fillId="4" borderId="4" xfId="0" applyFill="1" applyBorder="1"/>
    <xf numFmtId="0" fontId="0" fillId="4" borderId="5" xfId="0" applyFill="1" applyBorder="1"/>
    <xf numFmtId="0" fontId="1" fillId="3" borderId="4" xfId="0" applyFont="1" applyFill="1" applyBorder="1"/>
    <xf numFmtId="0" fontId="1" fillId="4" borderId="4" xfId="0" applyFont="1" applyFill="1" applyBorder="1"/>
    <xf numFmtId="0" fontId="0" fillId="0" borderId="0" xfId="0" applyBorder="1"/>
    <xf numFmtId="0" fontId="1" fillId="0" borderId="0" xfId="0" applyFont="1" applyBorder="1"/>
    <xf numFmtId="2" fontId="1" fillId="0" borderId="0" xfId="0" applyNumberFormat="1" applyFont="1" applyFill="1" applyBorder="1"/>
    <xf numFmtId="43" fontId="1" fillId="0" borderId="0" xfId="1" applyFont="1"/>
    <xf numFmtId="165" fontId="0" fillId="0" borderId="0" xfId="0" applyNumberFormat="1" applyBorder="1"/>
    <xf numFmtId="0" fontId="0" fillId="0" borderId="0" xfId="0" applyFill="1"/>
    <xf numFmtId="3" fontId="0" fillId="2" borderId="0" xfId="0" applyNumberFormat="1" applyFill="1" applyBorder="1"/>
    <xf numFmtId="0" fontId="0" fillId="2" borderId="0" xfId="0" applyFill="1" applyBorder="1"/>
    <xf numFmtId="0" fontId="0" fillId="0" borderId="0" xfId="0" applyFill="1" applyBorder="1"/>
    <xf numFmtId="0" fontId="1" fillId="0" borderId="0" xfId="0" applyFont="1" applyFill="1" applyBorder="1"/>
    <xf numFmtId="2" fontId="0" fillId="0" borderId="0" xfId="0" applyNumberFormat="1" applyFill="1" applyBorder="1"/>
    <xf numFmtId="0" fontId="0" fillId="0" borderId="0" xfId="0" applyFill="1" applyBorder="1" applyAlignment="1">
      <alignment wrapText="1"/>
    </xf>
    <xf numFmtId="165" fontId="0" fillId="0" borderId="0" xfId="0" applyNumberFormat="1" applyFill="1" applyBorder="1"/>
    <xf numFmtId="164" fontId="0" fillId="0" borderId="0" xfId="0" applyNumberFormat="1" applyFill="1" applyBorder="1"/>
    <xf numFmtId="4" fontId="0" fillId="2" borderId="0" xfId="0" applyNumberFormat="1" applyFill="1" applyBorder="1"/>
    <xf numFmtId="4" fontId="0" fillId="0" borderId="0" xfId="0" applyNumberFormat="1" applyFill="1" applyBorder="1"/>
    <xf numFmtId="2" fontId="0" fillId="2" borderId="0" xfId="0" applyNumberFormat="1" applyFill="1" applyBorder="1"/>
    <xf numFmtId="0" fontId="0" fillId="5" borderId="0" xfId="0" applyFill="1" applyBorder="1"/>
    <xf numFmtId="3" fontId="1" fillId="5" borderId="0" xfId="0" applyNumberFormat="1" applyFont="1" applyFill="1" applyBorder="1"/>
    <xf numFmtId="3" fontId="0" fillId="5" borderId="0" xfId="0" applyNumberFormat="1" applyFill="1" applyBorder="1"/>
    <xf numFmtId="3" fontId="0" fillId="5" borderId="0" xfId="0" applyNumberFormat="1" applyFont="1" applyFill="1" applyBorder="1"/>
    <xf numFmtId="4" fontId="0" fillId="5" borderId="0" xfId="0" applyNumberFormat="1" applyFill="1" applyBorder="1"/>
    <xf numFmtId="0" fontId="0" fillId="5" borderId="0" xfId="0" applyFill="1"/>
    <xf numFmtId="0" fontId="1" fillId="5" borderId="0" xfId="0" applyFont="1" applyFill="1" applyBorder="1"/>
    <xf numFmtId="0" fontId="0" fillId="5" borderId="0" xfId="0" applyFill="1" applyBorder="1" applyAlignment="1">
      <alignment wrapText="1"/>
    </xf>
    <xf numFmtId="0" fontId="1" fillId="5" borderId="0" xfId="0" applyFont="1" applyFill="1"/>
    <xf numFmtId="2" fontId="0" fillId="2" borderId="0" xfId="0" applyNumberFormat="1" applyFill="1"/>
    <xf numFmtId="2" fontId="1" fillId="0" borderId="0" xfId="0" applyNumberFormat="1" applyFont="1" applyBorder="1"/>
    <xf numFmtId="0" fontId="1" fillId="0" borderId="8" xfId="0" applyFont="1" applyBorder="1"/>
    <xf numFmtId="0" fontId="0" fillId="0" borderId="9" xfId="0" applyBorder="1"/>
    <xf numFmtId="43" fontId="1" fillId="0" borderId="10" xfId="1" applyFont="1" applyBorder="1"/>
    <xf numFmtId="0" fontId="0" fillId="2" borderId="1" xfId="0" applyFill="1" applyBorder="1"/>
    <xf numFmtId="4" fontId="0" fillId="2" borderId="2" xfId="0" applyNumberFormat="1" applyFill="1" applyBorder="1"/>
    <xf numFmtId="0" fontId="1" fillId="5" borderId="0" xfId="0" applyFont="1" applyFill="1" applyBorder="1" applyAlignment="1">
      <alignment wrapText="1"/>
    </xf>
    <xf numFmtId="0" fontId="1" fillId="0" borderId="0" xfId="0" applyFont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69BFFF"/>
      <color rgb="FFFF81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911225</xdr:colOff>
      <xdr:row>42</xdr:row>
      <xdr:rowOff>63500</xdr:rowOff>
    </xdr:from>
    <xdr:to>
      <xdr:col>26</xdr:col>
      <xdr:colOff>396875</xdr:colOff>
      <xdr:row>69</xdr:row>
      <xdr:rowOff>158750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1638FCAA-73AE-43DE-A1AE-71E0EB722C90}"/>
            </a:ext>
          </a:extLst>
        </xdr:cNvPr>
        <xdr:cNvGrpSpPr/>
      </xdr:nvGrpSpPr>
      <xdr:grpSpPr>
        <a:xfrm>
          <a:off x="11255375" y="10007600"/>
          <a:ext cx="10267950" cy="5092700"/>
          <a:chOff x="15408275" y="4883150"/>
          <a:chExt cx="8001000" cy="4146550"/>
        </a:xfrm>
      </xdr:grpSpPr>
      <xdr:pic>
        <xdr:nvPicPr>
          <xdr:cNvPr id="3" name="Graphic 2">
            <a:extLst>
              <a:ext uri="{FF2B5EF4-FFF2-40B4-BE49-F238E27FC236}">
                <a16:creationId xmlns:a16="http://schemas.microsoft.com/office/drawing/2014/main" id="{50B19B48-A285-40B5-94E2-8745F564964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15408275" y="4883150"/>
            <a:ext cx="8001000" cy="4146550"/>
          </a:xfrm>
          <a:prstGeom prst="rect">
            <a:avLst/>
          </a:prstGeom>
        </xdr:spPr>
      </xdr:pic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231C0517-99A1-4EE0-A1B1-C45302D9A745}"/>
              </a:ext>
            </a:extLst>
          </xdr:cNvPr>
          <xdr:cNvSpPr/>
        </xdr:nvSpPr>
        <xdr:spPr>
          <a:xfrm>
            <a:off x="19843752" y="6248400"/>
            <a:ext cx="1924754" cy="603250"/>
          </a:xfrm>
          <a:prstGeom prst="rect">
            <a:avLst/>
          </a:prstGeom>
          <a:pattFill prst="wdUpDiag">
            <a:fgClr>
              <a:srgbClr val="FF0000"/>
            </a:fgClr>
            <a:bgClr>
              <a:schemeClr val="bg1"/>
            </a:bgClr>
          </a:pattFill>
          <a:ln w="381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5BD0D36-73B7-41D6-A095-9E58B17FB50A}"/>
              </a:ext>
            </a:extLst>
          </xdr:cNvPr>
          <xdr:cNvSpPr/>
        </xdr:nvSpPr>
        <xdr:spPr>
          <a:xfrm>
            <a:off x="20545424" y="6858000"/>
            <a:ext cx="1228725" cy="1263650"/>
          </a:xfrm>
          <a:prstGeom prst="rect">
            <a:avLst/>
          </a:prstGeom>
          <a:pattFill prst="wdUpDiag">
            <a:fgClr>
              <a:srgbClr val="0070C0"/>
            </a:fgClr>
            <a:bgClr>
              <a:schemeClr val="bg1"/>
            </a:bgClr>
          </a:pattFill>
          <a:ln w="381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530225</xdr:colOff>
      <xdr:row>19</xdr:row>
      <xdr:rowOff>31750</xdr:rowOff>
    </xdr:from>
    <xdr:to>
      <xdr:col>22</xdr:col>
      <xdr:colOff>631825</xdr:colOff>
      <xdr:row>42</xdr:row>
      <xdr:rowOff>107950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67AC1D51-258F-4682-ADA5-3FDD624AA286}"/>
            </a:ext>
          </a:extLst>
        </xdr:cNvPr>
        <xdr:cNvGrpSpPr/>
      </xdr:nvGrpSpPr>
      <xdr:grpSpPr>
        <a:xfrm>
          <a:off x="8766175" y="4432300"/>
          <a:ext cx="10267950" cy="4311650"/>
          <a:chOff x="15408275" y="4883150"/>
          <a:chExt cx="8001000" cy="4146550"/>
        </a:xfrm>
      </xdr:grpSpPr>
      <xdr:pic>
        <xdr:nvPicPr>
          <xdr:cNvPr id="2" name="Graphic 1">
            <a:extLst>
              <a:ext uri="{FF2B5EF4-FFF2-40B4-BE49-F238E27FC236}">
                <a16:creationId xmlns:a16="http://schemas.microsoft.com/office/drawing/2014/main" id="{A52E951B-24B7-4F78-9CA4-6722A4BA8E1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15408275" y="4883150"/>
            <a:ext cx="8001000" cy="4146550"/>
          </a:xfrm>
          <a:prstGeom prst="rect">
            <a:avLst/>
          </a:prstGeom>
        </xdr:spPr>
      </xdr:pic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FE804443-C21F-4453-8883-02EF31FA1EC3}"/>
              </a:ext>
            </a:extLst>
          </xdr:cNvPr>
          <xdr:cNvSpPr/>
        </xdr:nvSpPr>
        <xdr:spPr>
          <a:xfrm>
            <a:off x="19843752" y="6248400"/>
            <a:ext cx="1924754" cy="603250"/>
          </a:xfrm>
          <a:prstGeom prst="rect">
            <a:avLst/>
          </a:prstGeom>
          <a:pattFill prst="wdUpDiag">
            <a:fgClr>
              <a:srgbClr val="FF0000"/>
            </a:fgClr>
            <a:bgClr>
              <a:schemeClr val="bg1"/>
            </a:bgClr>
          </a:pattFill>
          <a:ln w="381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A18AF16A-C4A8-4539-8F20-2FEE2CA049D4}"/>
              </a:ext>
            </a:extLst>
          </xdr:cNvPr>
          <xdr:cNvSpPr/>
        </xdr:nvSpPr>
        <xdr:spPr>
          <a:xfrm>
            <a:off x="20545424" y="6858000"/>
            <a:ext cx="1228725" cy="1263650"/>
          </a:xfrm>
          <a:prstGeom prst="rect">
            <a:avLst/>
          </a:prstGeom>
          <a:pattFill prst="wdUpDiag">
            <a:fgClr>
              <a:srgbClr val="0070C0"/>
            </a:fgClr>
            <a:bgClr>
              <a:schemeClr val="bg1"/>
            </a:bgClr>
          </a:pattFill>
          <a:ln w="381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Jones, Paul" id="{F64DCC66-D951-4918-BAF4-023CAC2079E2}" userId="S::P2161@uniper.energy::6b1c01df-18b0-43bf-88dc-de257a1616ff" providerId="AD"/>
  <person displayName="Nick Sillito" id="{2C075CE6-65CE-4403-B840-1065F1E9C75F}" userId="S::nsillito@peakgen.com::728306bb-6649-42fd-8271-fea0105d643e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5" dT="2022-08-28T11:01:57.87" personId="{2C075CE6-65CE-4403-B840-1065F1E9C75F}" id="{32C9FA00-0564-4E81-9272-0A9C7EDC9A77}">
    <text>It this was for an item of plant without a length (eg a transformer) it would simply be the number of pieces of that sort of plant (1 in most cases).</text>
  </threadedComment>
  <threadedComment ref="D5" dT="2022-06-10T09:30:20.32" personId="{2C075CE6-65CE-4403-B840-1065F1E9C75F}" id="{73B8800D-B701-4577-B29A-5B626EEF9187}">
    <text>For a new build circuit, this value is always 0 (capital expenditure is at time of build)</text>
  </threadedComment>
  <threadedComment ref="E5" dT="2022-08-28T10:43:25.15" personId="{2C075CE6-65CE-4403-B840-1065F1E9C75F}" id="{1F9877CE-693B-4BB1-B1D3-5A03C0E1608C}">
    <text>Zero for new build assets, expected life of the initial asset (if maintained in accordance with good industry practice) for refurbished assets</text>
  </threadedComment>
  <threadedComment ref="G5" dT="2022-06-10T09:31:24.46" personId="{2C075CE6-65CE-4403-B840-1065F1E9C75F}" id="{3FA004D9-D925-4FFF-9935-6511D8CA42B8}">
    <text>For a new build circuit, there was no circuit before the investment, therefore the inital capacity is always 0</text>
  </threadedComment>
  <threadedComment ref="J5" dT="2022-09-13T15:13:33.17" personId="{F64DCC66-D951-4918-BAF4-023CAC2079E2}" id="{3B06EF43-4D8B-4A45-A2BD-A0C4EBA31579}">
    <text>Didn't use MEA approach.  High or low incremental costs should be smoothed by also including historic costs in final EC</text>
  </threadedComment>
  <threadedComment ref="K5" dT="2022-09-13T15:07:09.22" personId="{F64DCC66-D951-4918-BAF4-023CAC2079E2}" id="{FD623907-AD01-4768-8AB5-7826513BD7FA}">
    <text>Incremental MW used</text>
  </threadedComment>
  <threadedComment ref="L5" dT="2022-09-13T15:08:12.30" personId="{F64DCC66-D951-4918-BAF4-023CAC2079E2}" id="{A57EA8F7-1875-47FD-BCE7-1522D46859AB}">
    <text>Adjusted for years additional MW are provided for</text>
  </threadedComment>
  <threadedComment ref="M5" dT="2022-09-13T15:08:59.32" personId="{F64DCC66-D951-4918-BAF4-023CAC2079E2}" id="{5F19AE90-252B-4B18-B45E-E21FA2A54FD5}">
    <text>Crude scaling to reflect overheads not allocated for 50 years</text>
  </threadedComment>
  <threadedComment ref="T5" dT="2022-09-13T15:08:12.30" personId="{F64DCC66-D951-4918-BAF4-023CAC2079E2}" id="{116481C9-38DA-44E9-9ABC-E67071DF5406}">
    <text>Adjusted to reflect additional years provided by investment</text>
  </threadedComment>
  <threadedComment ref="U5" dT="2022-09-13T15:08:59.32" personId="{F64DCC66-D951-4918-BAF4-023CAC2079E2}" id="{3BD4942F-C0FE-4978-92AF-286D6297E7FD}">
    <text>Crude scaling to reflect overheads not allocated for 50 years</text>
  </threadedComment>
  <threadedComment ref="V5" dT="2022-08-28T11:10:40.61" personId="{2C075CE6-65CE-4403-B840-1065F1E9C75F}" id="{ECA0E3B1-2C26-4975-ABB8-CF449EFBE5AD}">
    <text>Also includes an allowance for TO overheads in accordance with CUSC 14.15.67</text>
  </threadedComment>
  <threadedComment ref="A10" dT="2022-06-10T09:43:14.23" personId="{2C075CE6-65CE-4403-B840-1065F1E9C75F}" id="{7F323771-6E34-4766-9E11-7BBD9DA1340D}">
    <text>This is a simple reconductoring, 30 years after the asset was buit. It increases the circuit capacity, but does not change the asset life</text>
  </threadedComment>
  <threadedComment ref="A11" dT="2022-06-10T09:43:14.23" personId="{2C075CE6-65CE-4403-B840-1065F1E9C75F}" id="{4A2CA64C-B4B0-4E97-8B7E-8328A980EB46}">
    <text>This is a simple reconductoring, 30 years after the asset was buit. It increases the circuit capacity, but does not change the asset life</text>
  </threadedComment>
  <threadedComment ref="A12" dT="2022-06-10T09:43:14.23" personId="{2C075CE6-65CE-4403-B840-1065F1E9C75F}" id="{459E23F7-082B-4C00-8010-29B521A8C567}">
    <text>This is a simple reconductoring, 30 years after the asset was buit. It increases the circuit capacity, but does not change the asset life</text>
  </threadedComment>
  <threadedComment ref="B19" dT="2022-08-28T11:01:57.87" personId="{2C075CE6-65CE-4403-B840-1065F1E9C75F}" id="{B908F41D-1456-424D-B55B-355F4ABB8FE6}">
    <text xml:space="preserve">A transformer is always a single item (this value is always 1)
</text>
  </threadedComment>
  <threadedComment ref="D19" dT="2022-06-10T09:30:20.32" personId="{2C075CE6-65CE-4403-B840-1065F1E9C75F}" id="{2801A99B-BF95-4437-98E7-129D3B5601CD}">
    <text>For a new build circuit, this value is always 0 (capital expenditure is at time of build)</text>
  </threadedComment>
  <threadedComment ref="E19" dT="2022-08-28T10:43:25.15" personId="{2C075CE6-65CE-4403-B840-1065F1E9C75F}" id="{21FEB24A-8C25-494C-A3FB-D62DDF97DC08}">
    <text>Zero for new build assets, expected life of the initial asset (if maintained in accordance with good industry practice) for refurbished assets</text>
  </threadedComment>
  <threadedComment ref="G19" dT="2022-06-10T09:31:24.46" personId="{2C075CE6-65CE-4403-B840-1065F1E9C75F}" id="{D93F6BF2-4D1E-414E-B252-7378C2156511}">
    <text>For a new build circuit, there was no circuit before the investment, therefore the inital capacity is always 0</text>
  </threadedComment>
  <threadedComment ref="J19" dT="2022-09-13T15:13:33.17" personId="{F64DCC66-D951-4918-BAF4-023CAC2079E2}" id="{0A1E4840-B2B2-4810-82D4-7B576123ECDC}">
    <text>Didn't use MEA approach.  High or low incremental costs should be smoothed by also including historic costs in final EC</text>
  </threadedComment>
  <threadedComment ref="K19" dT="2022-09-13T15:07:09.22" personId="{F64DCC66-D951-4918-BAF4-023CAC2079E2}" id="{BC1F5152-2DC4-4981-8B99-DB0967963183}">
    <text>Incremental MW used</text>
  </threadedComment>
  <threadedComment ref="L19" dT="2022-09-13T15:08:12.30" personId="{F64DCC66-D951-4918-BAF4-023CAC2079E2}" id="{36626983-2DFD-43AE-9589-32B54E1F6E26}">
    <text>Adjusted for years additional MW are provided for</text>
  </threadedComment>
  <threadedComment ref="M19" dT="2022-09-13T15:08:59.32" personId="{F64DCC66-D951-4918-BAF4-023CAC2079E2}" id="{BB1B1955-2251-4FC2-A5B1-68FF33A60EE6}">
    <text>Crude scaling to reflect overheads not allocated for 50 years</text>
  </threadedComment>
  <threadedComment ref="T19" dT="2022-09-13T15:08:12.30" personId="{F64DCC66-D951-4918-BAF4-023CAC2079E2}" id="{A589D473-C845-4A28-94F7-36F0C4DC54E2}">
    <text>Adjusted to reflect additional years provided by investment</text>
  </threadedComment>
  <threadedComment ref="U19" dT="2022-09-13T15:08:59.32" personId="{F64DCC66-D951-4918-BAF4-023CAC2079E2}" id="{11AE090F-F8D1-442F-BD6C-544EBF90D4D8}">
    <text>Crude scaling to reflect overheads not allocated for 50 years</text>
  </threadedComment>
  <threadedComment ref="V19" dT="2022-08-28T11:10:40.61" personId="{2C075CE6-65CE-4403-B840-1065F1E9C75F}" id="{719084B7-EC7A-4D8C-8EC4-F5A0C078F2E2}">
    <text>Also includes an allowance for TO overheads in accordance with CUSC 14.15.67</text>
  </threadedComment>
  <threadedComment ref="B31" dT="2022-08-28T11:01:57.87" personId="{2C075CE6-65CE-4403-B840-1065F1E9C75F}" id="{837CD478-6665-4B57-B33E-075DE941E4F8}">
    <text xml:space="preserve">A circuit breaker is always a single item (this value is always 1)
</text>
  </threadedComment>
  <threadedComment ref="D31" dT="2022-06-10T09:30:20.32" personId="{2C075CE6-65CE-4403-B840-1065F1E9C75F}" id="{6B89B522-8FA8-4F86-8E38-02AB0EEB37D4}">
    <text>For a new build, this value is always 0 (capital expenditure is at time of build)</text>
  </threadedComment>
  <threadedComment ref="E31" dT="2022-08-28T10:43:25.15" personId="{2C075CE6-65CE-4403-B840-1065F1E9C75F}" id="{D4331AC9-15D5-445F-9E21-16CFA883B8BE}">
    <text>Zero for new build assets, expected life of the initial asset (if maintained in accordance with good industry practice) for refurbished assets</text>
  </threadedComment>
  <threadedComment ref="G31" dT="2022-06-10T09:31:24.46" personId="{2C075CE6-65CE-4403-B840-1065F1E9C75F}" id="{DE33364C-E8A3-42D8-BB0B-A15FD99368E7}">
    <text>For a new build bay, there was no circuit before the investment, therefore the inital capacity is always 0</text>
  </threadedComment>
  <threadedComment ref="H31" dT="2022-10-12T10:21:25.65" personId="{2C075CE6-65CE-4403-B840-1065F1E9C75F}" id="{B29225BE-F5E0-453E-8938-23C73E4CC2DA}">
    <text xml:space="preserve">For a substation bay, thermal capacity is not the limiting factor. To ensure proper cost recovery, the capacity is the average loading (from the transport model of a 275 kV circuit). For this example, 847 MVA is assumed
</text>
  </threadedComment>
  <threadedComment ref="J31" dT="2022-09-13T15:13:33.17" personId="{F64DCC66-D951-4918-BAF4-023CAC2079E2}" id="{ED5F3412-C4C3-4498-93E4-43C022340A65}">
    <text>Didn't use MEA approach.  High or low incremental costs should be smoothed by also including historic costs in final EC</text>
  </threadedComment>
  <threadedComment ref="K31" dT="2022-09-13T15:07:09.22" personId="{F64DCC66-D951-4918-BAF4-023CAC2079E2}" id="{4561FCA6-A0E0-4E20-A903-389C81FC7A4A}">
    <text>Incremental MW used</text>
  </threadedComment>
  <threadedComment ref="L31" dT="2022-09-13T15:08:12.30" personId="{F64DCC66-D951-4918-BAF4-023CAC2079E2}" id="{662BA23A-D5CA-4E40-BBF1-5B577CD78245}">
    <text>Adjusted for years additional MW are provided for</text>
  </threadedComment>
  <threadedComment ref="M31" dT="2022-09-13T15:08:59.32" personId="{F64DCC66-D951-4918-BAF4-023CAC2079E2}" id="{44C710CE-D707-474C-870F-35B778A2B94E}">
    <text>Crude scaling to reflect overheads not allocated for 50 years</text>
  </threadedComment>
  <threadedComment ref="T31" dT="2022-09-13T15:08:12.30" personId="{F64DCC66-D951-4918-BAF4-023CAC2079E2}" id="{8142FA3C-E891-4244-99E2-2021F6D4A459}">
    <text>Adjusted to reflect additional years provided by investment</text>
  </threadedComment>
  <threadedComment ref="U31" dT="2022-09-13T15:08:59.32" personId="{F64DCC66-D951-4918-BAF4-023CAC2079E2}" id="{EF681092-4770-464A-AC8D-C344B55063AA}">
    <text>Crude scaling to reflect overheads not allocated for 50 years</text>
  </threadedComment>
  <threadedComment ref="V31" dT="2022-08-28T11:10:40.61" personId="{2C075CE6-65CE-4403-B840-1065F1E9C75F}" id="{D2AD03B4-2DA5-4780-83DB-53FB38628C01}">
    <text>Also includes an allowance for TO overheads in accordance with CUSC 14.15.67</text>
  </threadedComment>
  <threadedComment ref="G36" dT="2022-10-12T10:30:13.14" personId="{2C075CE6-65CE-4403-B840-1065F1E9C75F}" id="{E8BF0954-4EFF-47A4-A00A-20BB93192A6C}">
    <text>847 MVA used as this is the "nominal" capacity of a bay.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5" dT="2022-08-28T11:01:57.87" personId="{2C075CE6-65CE-4403-B840-1065F1E9C75F}" id="{2E493AE4-87C8-4161-87AB-8D118172CD93}">
    <text>It this was for an item of plant without a length (eg a transformer) it would simply be the number of pieces of that sort of plant (1 in most cases).</text>
  </threadedComment>
  <threadedComment ref="D5" dT="2022-06-10T09:30:20.32" personId="{2C075CE6-65CE-4403-B840-1065F1E9C75F}" id="{E67598E8-94D7-4B98-BC52-2926A8F3C56F}">
    <text>For a new build circuit, this value is always 0 (capital expenditure is at time of build)</text>
  </threadedComment>
  <threadedComment ref="E5" dT="2022-08-28T10:43:25.15" personId="{2C075CE6-65CE-4403-B840-1065F1E9C75F}" id="{88F17733-E222-4573-BA65-A930BB1D3C19}">
    <text>Zero for new build assets, expected life of the initial asset (if maintained in accordance with good industry practice) for refurbished assets</text>
  </threadedComment>
  <threadedComment ref="G5" dT="2022-06-10T09:31:24.46" personId="{2C075CE6-65CE-4403-B840-1065F1E9C75F}" id="{01DC099A-791B-44D6-93A0-AC406B6C28C3}">
    <text>For a new build circuit, there was no circuit before the investment, therefore the inital capacity is always 0</text>
  </threadedComment>
  <threadedComment ref="J5" dT="2022-09-13T15:13:33.17" personId="{F64DCC66-D951-4918-BAF4-023CAC2079E2}" id="{D301DE26-599F-4108-A401-9A4552F3DF6D}">
    <text>Didn't use MEA approach.  High or low incremental costs should be smoothed by also including historic costs in final EC</text>
  </threadedComment>
  <threadedComment ref="K5" dT="2022-09-13T15:07:09.22" personId="{F64DCC66-D951-4918-BAF4-023CAC2079E2}" id="{9B4C4243-387F-4366-9DBD-443CC89859AB}">
    <text>Incremental MW used</text>
  </threadedComment>
  <threadedComment ref="L5" dT="2022-09-13T15:08:12.30" personId="{F64DCC66-D951-4918-BAF4-023CAC2079E2}" id="{F38D9C72-247E-4B02-93D0-E34FCA737FA7}">
    <text>Adjusted for years additional MW are provided for</text>
  </threadedComment>
  <threadedComment ref="M5" dT="2022-09-13T15:08:59.32" personId="{F64DCC66-D951-4918-BAF4-023CAC2079E2}" id="{A6E7F034-B31C-4AED-9DD6-CAD9BFEE7036}">
    <text>Crude scaling to reflect overheads not allocated for 50 years</text>
  </threadedComment>
  <threadedComment ref="T5" dT="2022-09-13T15:08:12.30" personId="{F64DCC66-D951-4918-BAF4-023CAC2079E2}" id="{9C53B29D-DC6B-45A6-9575-F2050D763B38}">
    <text>Adjusted to reflect additional years provided by investment</text>
  </threadedComment>
  <threadedComment ref="U5" dT="2022-09-13T15:08:59.32" personId="{F64DCC66-D951-4918-BAF4-023CAC2079E2}" id="{A3386034-A843-495D-B618-33566B920ECB}">
    <text>Crude scaling to reflect overheads not allocated for 50 years</text>
  </threadedComment>
  <threadedComment ref="V5" dT="2022-08-28T11:10:40.61" personId="{2C075CE6-65CE-4403-B840-1065F1E9C75F}" id="{6968C0B6-7AC5-4413-A663-FE12D5AE332B}">
    <text>Also includes an allowance for TO overheads in accordance with CUSC 14.15.67</text>
  </threadedComment>
  <threadedComment ref="A10" dT="2022-06-10T09:43:14.23" personId="{2C075CE6-65CE-4403-B840-1065F1E9C75F}" id="{3ED3A951-846E-4BDA-A37F-216508640B79}">
    <text>This is a simple reconductoring, 30 years after the asset was buit. It increases the circuit capacity, but does not change the asset life</text>
  </threadedComment>
  <threadedComment ref="A11" dT="2022-06-10T09:43:14.23" personId="{2C075CE6-65CE-4403-B840-1065F1E9C75F}" id="{7CB8E48F-D2D3-4A12-BE62-7F675AE89EB3}">
    <text>This is a simple reconductoring, 30 years after the asset was buit. It increases the circuit capacity, but does not change the asset life</text>
  </threadedComment>
  <threadedComment ref="A12" dT="2022-06-10T09:43:14.23" personId="{2C075CE6-65CE-4403-B840-1065F1E9C75F}" id="{E566F61E-7DCC-4FEE-8B4C-17BED675850A}">
    <text>This is a simple reconductoring, 30 years after the asset was buit. It increases the circuit capacity, but does not change the asset life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347A9-2B90-4B0E-A874-D759CD185057}">
  <dimension ref="A4:AD79"/>
  <sheetViews>
    <sheetView tabSelected="1" topLeftCell="A19" workbookViewId="0">
      <selection activeCell="K40" sqref="K40:L40"/>
    </sheetView>
  </sheetViews>
  <sheetFormatPr defaultRowHeight="14.5" x14ac:dyDescent="0.35"/>
  <cols>
    <col min="1" max="1" width="12.90625" bestFit="1" customWidth="1"/>
    <col min="2" max="2" width="21.7265625" customWidth="1"/>
    <col min="3" max="3" width="10.1796875" bestFit="1" customWidth="1"/>
    <col min="10" max="10" width="11.54296875" customWidth="1"/>
    <col min="12" max="12" width="12.453125" customWidth="1"/>
    <col min="13" max="13" width="9.453125" customWidth="1"/>
    <col min="15" max="15" width="21.7265625" customWidth="1"/>
    <col min="16" max="16" width="11.1796875" bestFit="1" customWidth="1"/>
    <col min="17" max="17" width="15.54296875" bestFit="1" customWidth="1"/>
    <col min="18" max="18" width="15.54296875" customWidth="1"/>
    <col min="19" max="19" width="15" customWidth="1"/>
    <col min="20" max="20" width="8.453125" bestFit="1" customWidth="1"/>
    <col min="21" max="21" width="9.7265625" customWidth="1"/>
    <col min="22" max="22" width="17.7265625" bestFit="1" customWidth="1"/>
    <col min="23" max="23" width="10.1796875" bestFit="1" customWidth="1"/>
    <col min="24" max="24" width="11.81640625" bestFit="1" customWidth="1"/>
    <col min="29" max="29" width="11.81640625" bestFit="1" customWidth="1"/>
  </cols>
  <sheetData>
    <row r="4" spans="1:30" x14ac:dyDescent="0.35">
      <c r="A4" s="1"/>
      <c r="I4" s="17" t="s">
        <v>22</v>
      </c>
      <c r="J4" s="23"/>
      <c r="K4" s="18"/>
      <c r="L4" s="18"/>
      <c r="M4" s="18"/>
      <c r="N4" s="18"/>
      <c r="O4" s="18"/>
      <c r="P4" s="19"/>
      <c r="Q4" s="20" t="s">
        <v>24</v>
      </c>
      <c r="R4" s="24"/>
      <c r="S4" s="21"/>
      <c r="T4" s="21"/>
      <c r="U4" s="21"/>
      <c r="V4" s="21"/>
      <c r="W4" s="21"/>
      <c r="X4" s="22"/>
      <c r="AB4" s="1"/>
    </row>
    <row r="5" spans="1:30" ht="72.5" x14ac:dyDescent="0.35">
      <c r="A5" s="7"/>
      <c r="B5" s="7" t="s">
        <v>0</v>
      </c>
      <c r="C5" s="7" t="s">
        <v>16</v>
      </c>
      <c r="D5" s="7" t="s">
        <v>3</v>
      </c>
      <c r="E5" s="7" t="s">
        <v>11</v>
      </c>
      <c r="F5" s="7" t="s">
        <v>1</v>
      </c>
      <c r="G5" s="7" t="s">
        <v>4</v>
      </c>
      <c r="H5" s="7" t="s">
        <v>2</v>
      </c>
      <c r="I5" s="8" t="s">
        <v>23</v>
      </c>
      <c r="J5" s="9" t="s">
        <v>26</v>
      </c>
      <c r="K5" s="9" t="s">
        <v>15</v>
      </c>
      <c r="L5" s="9" t="s">
        <v>17</v>
      </c>
      <c r="M5" s="9" t="s">
        <v>28</v>
      </c>
      <c r="N5" s="9" t="s">
        <v>12</v>
      </c>
      <c r="O5" s="9" t="s">
        <v>21</v>
      </c>
      <c r="P5" s="10" t="s">
        <v>20</v>
      </c>
      <c r="Q5" s="8" t="s">
        <v>25</v>
      </c>
      <c r="R5" s="9" t="s">
        <v>27</v>
      </c>
      <c r="S5" s="9" t="s">
        <v>15</v>
      </c>
      <c r="T5" s="9" t="s">
        <v>17</v>
      </c>
      <c r="U5" s="9" t="s">
        <v>28</v>
      </c>
      <c r="V5" s="9" t="s">
        <v>12</v>
      </c>
      <c r="W5" s="9" t="s">
        <v>21</v>
      </c>
      <c r="X5" s="10" t="s">
        <v>20</v>
      </c>
      <c r="Y5" s="7"/>
      <c r="Z5" s="7"/>
      <c r="AA5" s="7"/>
      <c r="AB5" s="7"/>
      <c r="AC5" s="7"/>
      <c r="AD5" s="7"/>
    </row>
    <row r="6" spans="1:30" x14ac:dyDescent="0.35">
      <c r="A6" t="s">
        <v>5</v>
      </c>
      <c r="B6" s="3">
        <v>10</v>
      </c>
      <c r="C6" s="3">
        <v>5000000</v>
      </c>
      <c r="D6" s="2">
        <v>0</v>
      </c>
      <c r="E6" s="2">
        <v>0</v>
      </c>
      <c r="F6" s="3">
        <v>50</v>
      </c>
      <c r="G6" s="3">
        <v>0</v>
      </c>
      <c r="H6" s="3">
        <v>2000</v>
      </c>
      <c r="I6" s="6">
        <f>+(H6-G6)*(F6-D6)</f>
        <v>100000</v>
      </c>
      <c r="J6" s="12">
        <f>+I6*$C6/($I6+$Q6)</f>
        <v>5000000</v>
      </c>
      <c r="K6" s="6">
        <f>IF((H6-G6)&gt;0,J6/((H6-G6)*B6),0)</f>
        <v>250</v>
      </c>
      <c r="L6" s="13">
        <f t="shared" ref="L6:L12" si="0">WACC/(1-(1+WACC)^-(F6-D6))</f>
        <v>4.6550200449541529E-2</v>
      </c>
      <c r="M6" s="13">
        <f t="shared" ref="M6:M12" si="1">Overheads*(F6-D6)/50</f>
        <v>1.7999999999999999E-2</v>
      </c>
      <c r="N6" s="6">
        <f>+K6*(L6+M6)</f>
        <v>16.137550112385384</v>
      </c>
      <c r="O6" s="6">
        <f>+B6*I6</f>
        <v>1000000</v>
      </c>
      <c r="P6" s="6">
        <f>+B6*I6*N6</f>
        <v>16137550.112385383</v>
      </c>
      <c r="Q6" s="11">
        <f>+(F6-E6)*G6</f>
        <v>0</v>
      </c>
      <c r="R6" s="12">
        <f>+Q6*$C6/($I6+$Q6)</f>
        <v>0</v>
      </c>
      <c r="S6" s="6">
        <f>IF(G6&gt;0,+R6/(G6*B6),0)</f>
        <v>0</v>
      </c>
      <c r="T6" s="13">
        <f t="shared" ref="T6:T12" si="2">IF((F6-E6)&gt;0,WACC/(1-(1+WACC)^-(F6-E6)),0)</f>
        <v>4.6550200449541529E-2</v>
      </c>
      <c r="U6" s="13">
        <f t="shared" ref="U6:U12" si="3">Overheads*(F6-E6)/50</f>
        <v>1.7999999999999999E-2</v>
      </c>
      <c r="V6" s="16">
        <f>S6*(T6+U6)</f>
        <v>0</v>
      </c>
      <c r="W6" s="12">
        <f>$B6*Q6</f>
        <v>0</v>
      </c>
      <c r="X6" s="14">
        <f>$B6*Q6*V6</f>
        <v>0</v>
      </c>
      <c r="Z6" s="4"/>
    </row>
    <row r="7" spans="1:30" x14ac:dyDescent="0.35">
      <c r="A7" t="s">
        <v>19</v>
      </c>
      <c r="B7" s="3">
        <v>20</v>
      </c>
      <c r="C7" s="3">
        <v>11000000</v>
      </c>
      <c r="D7" s="2">
        <v>0</v>
      </c>
      <c r="E7" s="2">
        <v>0</v>
      </c>
      <c r="F7" s="3">
        <v>50</v>
      </c>
      <c r="G7" s="3">
        <v>0</v>
      </c>
      <c r="H7" s="3">
        <v>2500</v>
      </c>
      <c r="I7" s="6">
        <f t="shared" ref="I7:I12" si="4">+(H7-G7)*(F7-D7)</f>
        <v>125000</v>
      </c>
      <c r="J7" s="12">
        <f t="shared" ref="J7:J12" si="5">+I7*$C7/($I7+$Q7)</f>
        <v>11000000</v>
      </c>
      <c r="K7" s="6">
        <f t="shared" ref="K7:K12" si="6">IF((H7-G7)&gt;0,J7/((H7-G7)*B7),0)</f>
        <v>220</v>
      </c>
      <c r="L7" s="13">
        <f t="shared" si="0"/>
        <v>4.6550200449541529E-2</v>
      </c>
      <c r="M7" s="13">
        <f t="shared" si="1"/>
        <v>1.7999999999999999E-2</v>
      </c>
      <c r="N7" s="6">
        <f t="shared" ref="N7:N12" si="7">+K7*(L7+M7)</f>
        <v>14.201044098899137</v>
      </c>
      <c r="O7" s="6">
        <f t="shared" ref="O7:O12" si="8">+B7*I7</f>
        <v>2500000</v>
      </c>
      <c r="P7" s="6">
        <f t="shared" ref="P7:P12" si="9">+B7*I7*N7</f>
        <v>35502610.247247845</v>
      </c>
      <c r="Q7" s="11">
        <f t="shared" ref="Q7:Q12" si="10">+(F7-E7)*G7</f>
        <v>0</v>
      </c>
      <c r="R7" s="12">
        <f t="shared" ref="R7:R12" si="11">+Q7*$C7/($I7+$Q7)</f>
        <v>0</v>
      </c>
      <c r="S7" s="6">
        <f t="shared" ref="S7:S12" si="12">IF(G7&gt;0,+R7/(G7*B7),0)</f>
        <v>0</v>
      </c>
      <c r="T7" s="13">
        <f t="shared" si="2"/>
        <v>4.6550200449541529E-2</v>
      </c>
      <c r="U7" s="13">
        <f t="shared" si="3"/>
        <v>1.7999999999999999E-2</v>
      </c>
      <c r="V7" s="16">
        <f t="shared" ref="V7:V11" si="13">S7*(T7+U7)</f>
        <v>0</v>
      </c>
      <c r="W7" s="12">
        <f t="shared" ref="W7:W12" si="14">$B7*Q7</f>
        <v>0</v>
      </c>
      <c r="X7" s="14">
        <f t="shared" ref="X7:X12" si="15">$B7*Q7*V7</f>
        <v>0</v>
      </c>
      <c r="Z7" s="4"/>
    </row>
    <row r="8" spans="1:30" x14ac:dyDescent="0.35">
      <c r="A8" t="s">
        <v>6</v>
      </c>
      <c r="B8" s="3">
        <v>15</v>
      </c>
      <c r="C8" s="3">
        <v>8625000</v>
      </c>
      <c r="D8" s="2">
        <v>0</v>
      </c>
      <c r="E8" s="2">
        <v>0</v>
      </c>
      <c r="F8" s="3">
        <v>50</v>
      </c>
      <c r="G8" s="3">
        <v>0</v>
      </c>
      <c r="H8" s="3">
        <v>2700</v>
      </c>
      <c r="I8" s="6">
        <f t="shared" si="4"/>
        <v>135000</v>
      </c>
      <c r="J8" s="12">
        <f t="shared" si="5"/>
        <v>8625000</v>
      </c>
      <c r="K8" s="6">
        <f t="shared" si="6"/>
        <v>212.96296296296296</v>
      </c>
      <c r="L8" s="13">
        <f t="shared" si="0"/>
        <v>4.6550200449541529E-2</v>
      </c>
      <c r="M8" s="13">
        <f t="shared" si="1"/>
        <v>1.7999999999999999E-2</v>
      </c>
      <c r="N8" s="6">
        <f t="shared" si="7"/>
        <v>13.746801947587548</v>
      </c>
      <c r="O8" s="6">
        <f t="shared" si="8"/>
        <v>2025000</v>
      </c>
      <c r="P8" s="6">
        <f t="shared" si="9"/>
        <v>27837273.943864785</v>
      </c>
      <c r="Q8" s="11">
        <f t="shared" si="10"/>
        <v>0</v>
      </c>
      <c r="R8" s="12">
        <f t="shared" si="11"/>
        <v>0</v>
      </c>
      <c r="S8" s="6">
        <f t="shared" si="12"/>
        <v>0</v>
      </c>
      <c r="T8" s="13">
        <f t="shared" si="2"/>
        <v>4.6550200449541529E-2</v>
      </c>
      <c r="U8" s="13">
        <f t="shared" si="3"/>
        <v>1.7999999999999999E-2</v>
      </c>
      <c r="V8" s="16">
        <f t="shared" si="13"/>
        <v>0</v>
      </c>
      <c r="W8" s="12">
        <f t="shared" si="14"/>
        <v>0</v>
      </c>
      <c r="X8" s="14">
        <f t="shared" si="15"/>
        <v>0</v>
      </c>
      <c r="Z8" s="4"/>
    </row>
    <row r="9" spans="1:30" x14ac:dyDescent="0.35">
      <c r="A9" t="s">
        <v>7</v>
      </c>
      <c r="B9" s="3">
        <v>75</v>
      </c>
      <c r="C9" s="3">
        <v>52500000</v>
      </c>
      <c r="D9" s="2">
        <v>0</v>
      </c>
      <c r="E9" s="2">
        <v>0</v>
      </c>
      <c r="F9" s="3">
        <v>50</v>
      </c>
      <c r="G9" s="3">
        <v>0</v>
      </c>
      <c r="H9" s="3">
        <v>3120</v>
      </c>
      <c r="I9" s="6">
        <f t="shared" si="4"/>
        <v>156000</v>
      </c>
      <c r="J9" s="12">
        <f t="shared" si="5"/>
        <v>52500000</v>
      </c>
      <c r="K9" s="6">
        <f t="shared" si="6"/>
        <v>224.35897435897436</v>
      </c>
      <c r="L9" s="13">
        <f t="shared" si="0"/>
        <v>4.6550200449541529E-2</v>
      </c>
      <c r="M9" s="13">
        <f t="shared" si="1"/>
        <v>1.7999999999999999E-2</v>
      </c>
      <c r="N9" s="6">
        <f t="shared" si="7"/>
        <v>14.482416767525343</v>
      </c>
      <c r="O9" s="6">
        <f t="shared" si="8"/>
        <v>11700000</v>
      </c>
      <c r="P9" s="6">
        <f t="shared" si="9"/>
        <v>169444276.18004653</v>
      </c>
      <c r="Q9" s="11">
        <f t="shared" si="10"/>
        <v>0</v>
      </c>
      <c r="R9" s="12">
        <f t="shared" si="11"/>
        <v>0</v>
      </c>
      <c r="S9" s="6">
        <f t="shared" si="12"/>
        <v>0</v>
      </c>
      <c r="T9" s="13">
        <f t="shared" si="2"/>
        <v>4.6550200449541529E-2</v>
      </c>
      <c r="U9" s="13">
        <f t="shared" si="3"/>
        <v>1.7999999999999999E-2</v>
      </c>
      <c r="V9" s="16">
        <f t="shared" si="13"/>
        <v>0</v>
      </c>
      <c r="W9" s="12">
        <f t="shared" si="14"/>
        <v>0</v>
      </c>
      <c r="X9" s="14">
        <f t="shared" si="15"/>
        <v>0</v>
      </c>
      <c r="Z9" s="4"/>
    </row>
    <row r="10" spans="1:30" x14ac:dyDescent="0.35">
      <c r="A10" t="s">
        <v>8</v>
      </c>
      <c r="B10" s="2">
        <v>75</v>
      </c>
      <c r="C10" s="3">
        <v>18750000</v>
      </c>
      <c r="D10" s="2">
        <v>30</v>
      </c>
      <c r="E10" s="2">
        <v>50</v>
      </c>
      <c r="F10" s="2">
        <v>50</v>
      </c>
      <c r="G10" s="3">
        <v>2000</v>
      </c>
      <c r="H10" s="3">
        <v>2500</v>
      </c>
      <c r="I10" s="6">
        <f t="shared" si="4"/>
        <v>10000</v>
      </c>
      <c r="J10" s="12">
        <f t="shared" si="5"/>
        <v>18750000</v>
      </c>
      <c r="K10" s="6">
        <f t="shared" si="6"/>
        <v>500</v>
      </c>
      <c r="L10" s="13">
        <f t="shared" si="0"/>
        <v>7.3581750328628834E-2</v>
      </c>
      <c r="M10" s="13">
        <f t="shared" si="1"/>
        <v>7.1999999999999998E-3</v>
      </c>
      <c r="N10" s="6">
        <f t="shared" si="7"/>
        <v>40.390875164314416</v>
      </c>
      <c r="O10" s="6">
        <f t="shared" si="8"/>
        <v>750000</v>
      </c>
      <c r="P10" s="6">
        <f t="shared" si="9"/>
        <v>30293156.373235811</v>
      </c>
      <c r="Q10" s="11">
        <f t="shared" si="10"/>
        <v>0</v>
      </c>
      <c r="R10" s="12">
        <f t="shared" si="11"/>
        <v>0</v>
      </c>
      <c r="S10" s="6">
        <f t="shared" si="12"/>
        <v>0</v>
      </c>
      <c r="T10" s="13">
        <f t="shared" si="2"/>
        <v>0</v>
      </c>
      <c r="U10" s="13">
        <f t="shared" si="3"/>
        <v>0</v>
      </c>
      <c r="V10" s="16">
        <f t="shared" si="13"/>
        <v>0</v>
      </c>
      <c r="W10" s="12">
        <f t="shared" si="14"/>
        <v>0</v>
      </c>
      <c r="X10" s="14">
        <f t="shared" si="15"/>
        <v>0</v>
      </c>
      <c r="Z10" s="4"/>
    </row>
    <row r="11" spans="1:30" x14ac:dyDescent="0.35">
      <c r="A11" t="s">
        <v>9</v>
      </c>
      <c r="B11" s="2">
        <v>50</v>
      </c>
      <c r="C11" s="3">
        <v>7500000</v>
      </c>
      <c r="D11" s="2">
        <v>40</v>
      </c>
      <c r="E11" s="2">
        <v>50</v>
      </c>
      <c r="F11" s="2">
        <v>70</v>
      </c>
      <c r="G11" s="3">
        <v>1750</v>
      </c>
      <c r="H11" s="3">
        <v>1750</v>
      </c>
      <c r="I11" s="6">
        <f t="shared" si="4"/>
        <v>0</v>
      </c>
      <c r="J11" s="12">
        <f t="shared" si="5"/>
        <v>0</v>
      </c>
      <c r="K11" s="6">
        <f t="shared" si="6"/>
        <v>0</v>
      </c>
      <c r="L11" s="13">
        <f t="shared" si="0"/>
        <v>5.78300991336613E-2</v>
      </c>
      <c r="M11" s="13">
        <f t="shared" si="1"/>
        <v>1.0799999999999999E-2</v>
      </c>
      <c r="N11" s="6">
        <f t="shared" si="7"/>
        <v>0</v>
      </c>
      <c r="O11" s="6">
        <f t="shared" si="8"/>
        <v>0</v>
      </c>
      <c r="P11" s="6">
        <f t="shared" si="9"/>
        <v>0</v>
      </c>
      <c r="Q11" s="11">
        <f t="shared" si="10"/>
        <v>35000</v>
      </c>
      <c r="R11" s="12">
        <f t="shared" si="11"/>
        <v>7500000</v>
      </c>
      <c r="S11" s="6">
        <f t="shared" si="12"/>
        <v>85.714285714285708</v>
      </c>
      <c r="T11" s="13">
        <f t="shared" si="2"/>
        <v>7.3581750328628834E-2</v>
      </c>
      <c r="U11" s="13">
        <f t="shared" si="3"/>
        <v>7.1999999999999998E-3</v>
      </c>
      <c r="V11" s="16">
        <f t="shared" si="13"/>
        <v>6.9241500281681851</v>
      </c>
      <c r="W11" s="12">
        <f t="shared" si="14"/>
        <v>1750000</v>
      </c>
      <c r="X11" s="14">
        <f>$B11*Q11*V11</f>
        <v>12117262.549294325</v>
      </c>
      <c r="Z11" s="4"/>
    </row>
    <row r="12" spans="1:30" x14ac:dyDescent="0.35">
      <c r="A12" t="s">
        <v>10</v>
      </c>
      <c r="B12" s="2">
        <v>350</v>
      </c>
      <c r="C12" s="3">
        <v>61250000</v>
      </c>
      <c r="D12" s="2">
        <v>45</v>
      </c>
      <c r="E12" s="2">
        <v>50</v>
      </c>
      <c r="F12" s="2">
        <v>70</v>
      </c>
      <c r="G12" s="3">
        <v>2750</v>
      </c>
      <c r="H12" s="3">
        <v>3150</v>
      </c>
      <c r="I12" s="6">
        <f t="shared" si="4"/>
        <v>10000</v>
      </c>
      <c r="J12" s="12">
        <f t="shared" si="5"/>
        <v>9423076.9230769239</v>
      </c>
      <c r="K12" s="6">
        <f t="shared" si="6"/>
        <v>67.307692307692321</v>
      </c>
      <c r="L12" s="13">
        <f t="shared" si="0"/>
        <v>6.401196278645456E-2</v>
      </c>
      <c r="M12" s="13">
        <f t="shared" si="1"/>
        <v>8.9999999999999993E-3</v>
      </c>
      <c r="N12" s="6">
        <f t="shared" si="7"/>
        <v>4.9142667260113653</v>
      </c>
      <c r="O12" s="6">
        <f t="shared" si="8"/>
        <v>3500000</v>
      </c>
      <c r="P12" s="6">
        <f t="shared" si="9"/>
        <v>17199933.54103978</v>
      </c>
      <c r="Q12" s="11">
        <f t="shared" si="10"/>
        <v>55000</v>
      </c>
      <c r="R12" s="12">
        <f t="shared" si="11"/>
        <v>51826923.07692308</v>
      </c>
      <c r="S12" s="6">
        <f t="shared" si="12"/>
        <v>53.846153846153847</v>
      </c>
      <c r="T12" s="13">
        <f t="shared" si="2"/>
        <v>7.3581750328628834E-2</v>
      </c>
      <c r="U12" s="13">
        <f t="shared" si="3"/>
        <v>7.1999999999999998E-3</v>
      </c>
      <c r="V12" s="16">
        <f>S12*(T12+U12)</f>
        <v>4.3497865561569373</v>
      </c>
      <c r="W12" s="12">
        <f t="shared" si="14"/>
        <v>19250000</v>
      </c>
      <c r="X12" s="14">
        <f t="shared" si="15"/>
        <v>83733391.206021041</v>
      </c>
      <c r="Z12" s="4"/>
    </row>
    <row r="14" spans="1:30" x14ac:dyDescent="0.35">
      <c r="B14" s="25"/>
      <c r="C14" s="25"/>
    </row>
    <row r="15" spans="1:30" x14ac:dyDescent="0.35">
      <c r="B15" s="25"/>
      <c r="C15" s="25"/>
      <c r="V15" s="4" t="s">
        <v>18</v>
      </c>
      <c r="W15" s="4">
        <f>SUM(W6:W12,O6:O12)</f>
        <v>42475000</v>
      </c>
      <c r="X15" s="4">
        <f>SUM(X6:X12,P6:P12)</f>
        <v>392265454.15313548</v>
      </c>
    </row>
    <row r="16" spans="1:30" x14ac:dyDescent="0.35">
      <c r="B16" s="26"/>
      <c r="C16" s="27"/>
      <c r="V16" s="53" t="s">
        <v>43</v>
      </c>
      <c r="W16" s="54"/>
      <c r="X16" s="55">
        <f>X15/W15</f>
        <v>9.2352078670543953</v>
      </c>
    </row>
    <row r="17" spans="1:30" x14ac:dyDescent="0.35">
      <c r="A17" s="1" t="s">
        <v>29</v>
      </c>
      <c r="B17" s="4"/>
      <c r="C17" s="5"/>
    </row>
    <row r="18" spans="1:30" x14ac:dyDescent="0.35">
      <c r="B18" s="4"/>
      <c r="C18" s="5"/>
      <c r="I18" s="17" t="s">
        <v>22</v>
      </c>
      <c r="J18" s="23"/>
      <c r="K18" s="18"/>
      <c r="L18" s="18"/>
      <c r="M18" s="18"/>
      <c r="N18" s="18"/>
      <c r="O18" s="18"/>
      <c r="P18" s="19"/>
      <c r="Q18" s="20" t="s">
        <v>24</v>
      </c>
      <c r="R18" s="24"/>
      <c r="S18" s="21"/>
      <c r="T18" s="21"/>
      <c r="U18" s="21"/>
      <c r="V18" s="21"/>
      <c r="W18" s="21"/>
      <c r="X18" s="22"/>
    </row>
    <row r="19" spans="1:30" ht="72.5" x14ac:dyDescent="0.35">
      <c r="A19" s="7"/>
      <c r="B19" s="7" t="s">
        <v>30</v>
      </c>
      <c r="C19" s="7" t="s">
        <v>16</v>
      </c>
      <c r="D19" s="7" t="s">
        <v>3</v>
      </c>
      <c r="E19" s="7" t="s">
        <v>11</v>
      </c>
      <c r="F19" s="7" t="s">
        <v>1</v>
      </c>
      <c r="G19" s="7" t="s">
        <v>4</v>
      </c>
      <c r="H19" s="7" t="s">
        <v>2</v>
      </c>
      <c r="I19" s="8" t="s">
        <v>23</v>
      </c>
      <c r="J19" s="9" t="s">
        <v>26</v>
      </c>
      <c r="K19" s="9" t="s">
        <v>15</v>
      </c>
      <c r="L19" s="9" t="s">
        <v>17</v>
      </c>
      <c r="M19" s="9" t="s">
        <v>28</v>
      </c>
      <c r="N19" s="9" t="s">
        <v>12</v>
      </c>
      <c r="O19" s="9" t="s">
        <v>21</v>
      </c>
      <c r="P19" s="10" t="s">
        <v>20</v>
      </c>
      <c r="Q19" s="8" t="s">
        <v>25</v>
      </c>
      <c r="R19" s="9" t="s">
        <v>27</v>
      </c>
      <c r="S19" s="9" t="s">
        <v>15</v>
      </c>
      <c r="T19" s="9" t="s">
        <v>17</v>
      </c>
      <c r="U19" s="9" t="s">
        <v>28</v>
      </c>
      <c r="V19" s="9" t="s">
        <v>12</v>
      </c>
      <c r="W19" s="9" t="s">
        <v>21</v>
      </c>
      <c r="X19" s="10" t="s">
        <v>20</v>
      </c>
    </row>
    <row r="20" spans="1:30" x14ac:dyDescent="0.35">
      <c r="A20" t="s">
        <v>31</v>
      </c>
      <c r="B20" s="3">
        <v>1</v>
      </c>
      <c r="C20" s="3">
        <v>4000000</v>
      </c>
      <c r="D20" s="2">
        <v>0</v>
      </c>
      <c r="E20" s="2">
        <v>0</v>
      </c>
      <c r="F20" s="3">
        <v>50</v>
      </c>
      <c r="G20" s="3">
        <v>0</v>
      </c>
      <c r="H20" s="3">
        <v>750</v>
      </c>
      <c r="I20" s="6">
        <f>+(H20-G20)*(F20-D20)</f>
        <v>37500</v>
      </c>
      <c r="J20" s="12">
        <f>+I20*$C20/($I20+$Q20)</f>
        <v>4000000</v>
      </c>
      <c r="K20" s="6">
        <f>IF((H20-G20)&gt;0,J20/((H20-G20)*B20),0)</f>
        <v>5333.333333333333</v>
      </c>
      <c r="L20" s="13">
        <f t="shared" ref="L20" si="16">WACC/(1-(1+WACC)^-(F20-D20))</f>
        <v>4.6550200449541529E-2</v>
      </c>
      <c r="M20" s="13">
        <f t="shared" ref="M20" si="17">Overheads*(F20-D20)/50</f>
        <v>1.7999999999999999E-2</v>
      </c>
      <c r="N20" s="6">
        <f>+K20*(L20+M20)</f>
        <v>344.26773573088815</v>
      </c>
      <c r="O20" s="6">
        <f>+B20*I20</f>
        <v>37500</v>
      </c>
      <c r="P20" s="6">
        <f>+B20*I20*N20</f>
        <v>12910040.089908306</v>
      </c>
      <c r="Q20" s="11">
        <f>+(F20-E20)*G20</f>
        <v>0</v>
      </c>
      <c r="R20" s="12">
        <f>+Q20*$C20/($I20+$Q20)</f>
        <v>0</v>
      </c>
      <c r="S20" s="6">
        <f>IF(G20&gt;0,+R20/(G20*B20),0)</f>
        <v>0</v>
      </c>
      <c r="T20" s="13">
        <f t="shared" ref="T20" si="18">IF((F20-E20)&gt;0,WACC/(1-(1+WACC)^-(F20-E20)),0)</f>
        <v>4.6550200449541529E-2</v>
      </c>
      <c r="U20" s="13">
        <f t="shared" ref="U20" si="19">Overheads*(F20-E20)/50</f>
        <v>1.7999999999999999E-2</v>
      </c>
      <c r="V20" s="16">
        <f>S20*(T20+U20)</f>
        <v>0</v>
      </c>
      <c r="W20" s="12">
        <f>$B20*Q20</f>
        <v>0</v>
      </c>
      <c r="X20" s="14">
        <f>$B20*Q20*V20</f>
        <v>0</v>
      </c>
    </row>
    <row r="21" spans="1:30" x14ac:dyDescent="0.35">
      <c r="A21" t="s">
        <v>32</v>
      </c>
      <c r="B21" s="3">
        <v>1</v>
      </c>
      <c r="C21" s="3">
        <v>4500000</v>
      </c>
      <c r="D21" s="2">
        <v>0</v>
      </c>
      <c r="E21" s="2">
        <v>0</v>
      </c>
      <c r="F21" s="3">
        <v>50</v>
      </c>
      <c r="G21" s="3">
        <v>0</v>
      </c>
      <c r="H21" s="3">
        <v>1000</v>
      </c>
      <c r="I21" s="6">
        <f t="shared" ref="I21:I24" si="20">+(H21-G21)*(F21-D21)</f>
        <v>50000</v>
      </c>
      <c r="J21" s="12">
        <f t="shared" ref="J21:J24" si="21">+I21*$C21/($I21+$Q21)</f>
        <v>4500000</v>
      </c>
      <c r="K21" s="6">
        <f t="shared" ref="K21:K24" si="22">IF((H21-G21)&gt;0,J21/((H21-G21)*B21),0)</f>
        <v>4500</v>
      </c>
      <c r="L21" s="13">
        <f t="shared" ref="L21:L24" si="23">WACC/(1-(1+WACC)^-(F21-D21))</f>
        <v>4.6550200449541529E-2</v>
      </c>
      <c r="M21" s="13">
        <f t="shared" ref="M21:M24" si="24">Overheads*(F21-D21)/50</f>
        <v>1.7999999999999999E-2</v>
      </c>
      <c r="N21" s="6">
        <f t="shared" ref="N21:N24" si="25">+K21*(L21+M21)</f>
        <v>290.47590202293691</v>
      </c>
      <c r="O21" s="6">
        <f t="shared" ref="O21:O24" si="26">+B21*I21</f>
        <v>50000</v>
      </c>
      <c r="P21" s="6">
        <f t="shared" ref="P21:P24" si="27">+B21*I21*N21</f>
        <v>14523795.101146845</v>
      </c>
      <c r="Q21" s="11">
        <f t="shared" ref="Q21:Q24" si="28">+(F21-E21)*G21</f>
        <v>0</v>
      </c>
      <c r="R21" s="12">
        <f t="shared" ref="R21:R24" si="29">+Q21*$C21/($I21+$Q21)</f>
        <v>0</v>
      </c>
      <c r="S21" s="6">
        <f t="shared" ref="S21:S24" si="30">IF(G21&gt;0,+R21/(G21*B21),0)</f>
        <v>0</v>
      </c>
      <c r="T21" s="13">
        <f t="shared" ref="T21:T24" si="31">IF((F21-E21)&gt;0,WACC/(1-(1+WACC)^-(F21-E21)),0)</f>
        <v>4.6550200449541529E-2</v>
      </c>
      <c r="U21" s="13">
        <f t="shared" ref="U21:U24" si="32">Overheads*(F21-E21)/50</f>
        <v>1.7999999999999999E-2</v>
      </c>
      <c r="V21" s="16">
        <f t="shared" ref="V21:V24" si="33">S21*(T21+U21)</f>
        <v>0</v>
      </c>
      <c r="W21" s="12">
        <f t="shared" ref="W21:W24" si="34">$B21*Q21</f>
        <v>0</v>
      </c>
      <c r="X21" s="14">
        <f t="shared" ref="X21:X24" si="35">$B21*Q21*V21</f>
        <v>0</v>
      </c>
    </row>
    <row r="22" spans="1:30" x14ac:dyDescent="0.35">
      <c r="A22" t="s">
        <v>33</v>
      </c>
      <c r="B22" s="3">
        <v>1</v>
      </c>
      <c r="C22" s="3">
        <v>6000000</v>
      </c>
      <c r="D22" s="2">
        <v>0</v>
      </c>
      <c r="E22" s="2">
        <v>0</v>
      </c>
      <c r="F22" s="3">
        <v>50</v>
      </c>
      <c r="G22" s="3">
        <v>0</v>
      </c>
      <c r="H22" s="3">
        <v>1200</v>
      </c>
      <c r="I22" s="6">
        <f t="shared" si="20"/>
        <v>60000</v>
      </c>
      <c r="J22" s="12">
        <f t="shared" si="21"/>
        <v>6000000</v>
      </c>
      <c r="K22" s="6">
        <f t="shared" si="22"/>
        <v>5000</v>
      </c>
      <c r="L22" s="13">
        <f t="shared" si="23"/>
        <v>4.6550200449541529E-2</v>
      </c>
      <c r="M22" s="13">
        <f t="shared" si="24"/>
        <v>1.7999999999999999E-2</v>
      </c>
      <c r="N22" s="6">
        <f t="shared" si="25"/>
        <v>322.75100224770767</v>
      </c>
      <c r="O22" s="6">
        <f t="shared" si="26"/>
        <v>60000</v>
      </c>
      <c r="P22" s="6">
        <f t="shared" si="27"/>
        <v>19365060.13486246</v>
      </c>
      <c r="Q22" s="11">
        <f t="shared" si="28"/>
        <v>0</v>
      </c>
      <c r="R22" s="12">
        <f t="shared" si="29"/>
        <v>0</v>
      </c>
      <c r="S22" s="6">
        <f t="shared" si="30"/>
        <v>0</v>
      </c>
      <c r="T22" s="13">
        <f t="shared" si="31"/>
        <v>4.6550200449541529E-2</v>
      </c>
      <c r="U22" s="13">
        <f t="shared" si="32"/>
        <v>1.7999999999999999E-2</v>
      </c>
      <c r="V22" s="16">
        <f t="shared" si="33"/>
        <v>0</v>
      </c>
      <c r="W22" s="12">
        <f t="shared" si="34"/>
        <v>0</v>
      </c>
      <c r="X22" s="14">
        <f t="shared" si="35"/>
        <v>0</v>
      </c>
    </row>
    <row r="23" spans="1:30" x14ac:dyDescent="0.35">
      <c r="A23" t="s">
        <v>34</v>
      </c>
      <c r="B23" s="3">
        <v>1</v>
      </c>
      <c r="C23" s="3">
        <v>4500000</v>
      </c>
      <c r="D23" s="2">
        <v>0</v>
      </c>
      <c r="E23" s="2">
        <v>0</v>
      </c>
      <c r="F23" s="3">
        <v>50</v>
      </c>
      <c r="G23" s="3">
        <v>0</v>
      </c>
      <c r="H23" s="3">
        <v>750</v>
      </c>
      <c r="I23" s="6">
        <f t="shared" si="20"/>
        <v>37500</v>
      </c>
      <c r="J23" s="12">
        <f t="shared" si="21"/>
        <v>4500000</v>
      </c>
      <c r="K23" s="6">
        <f t="shared" si="22"/>
        <v>6000</v>
      </c>
      <c r="L23" s="13">
        <f t="shared" si="23"/>
        <v>4.6550200449541529E-2</v>
      </c>
      <c r="M23" s="13">
        <f t="shared" si="24"/>
        <v>1.7999999999999999E-2</v>
      </c>
      <c r="N23" s="6">
        <f t="shared" si="25"/>
        <v>387.30120269724921</v>
      </c>
      <c r="O23" s="6">
        <f t="shared" si="26"/>
        <v>37500</v>
      </c>
      <c r="P23" s="6">
        <f t="shared" si="27"/>
        <v>14523795.101146845</v>
      </c>
      <c r="Q23" s="11">
        <f t="shared" si="28"/>
        <v>0</v>
      </c>
      <c r="R23" s="12">
        <f t="shared" si="29"/>
        <v>0</v>
      </c>
      <c r="S23" s="6">
        <f t="shared" si="30"/>
        <v>0</v>
      </c>
      <c r="T23" s="13">
        <f t="shared" si="31"/>
        <v>4.6550200449541529E-2</v>
      </c>
      <c r="U23" s="13">
        <f t="shared" si="32"/>
        <v>1.7999999999999999E-2</v>
      </c>
      <c r="V23" s="16">
        <f t="shared" si="33"/>
        <v>0</v>
      </c>
      <c r="W23" s="12">
        <f t="shared" si="34"/>
        <v>0</v>
      </c>
      <c r="X23" s="14">
        <f t="shared" si="35"/>
        <v>0</v>
      </c>
      <c r="Z23" s="25"/>
      <c r="AA23" s="25"/>
      <c r="AB23" s="25"/>
      <c r="AC23" s="25"/>
      <c r="AD23" s="25"/>
    </row>
    <row r="24" spans="1:30" x14ac:dyDescent="0.35">
      <c r="A24" t="s">
        <v>35</v>
      </c>
      <c r="B24" s="3">
        <v>1</v>
      </c>
      <c r="C24" s="3">
        <v>2000000</v>
      </c>
      <c r="D24" s="2">
        <v>45</v>
      </c>
      <c r="E24" s="2">
        <v>50</v>
      </c>
      <c r="F24" s="3">
        <v>70</v>
      </c>
      <c r="G24" s="3">
        <v>750</v>
      </c>
      <c r="H24" s="3">
        <v>750</v>
      </c>
      <c r="I24" s="6">
        <f t="shared" si="20"/>
        <v>0</v>
      </c>
      <c r="J24" s="12">
        <f t="shared" si="21"/>
        <v>0</v>
      </c>
      <c r="K24" s="6">
        <f t="shared" si="22"/>
        <v>0</v>
      </c>
      <c r="L24" s="13">
        <f t="shared" si="23"/>
        <v>6.401196278645456E-2</v>
      </c>
      <c r="M24" s="13">
        <f t="shared" si="24"/>
        <v>8.9999999999999993E-3</v>
      </c>
      <c r="N24" s="6">
        <f t="shared" si="25"/>
        <v>0</v>
      </c>
      <c r="O24" s="6">
        <f t="shared" si="26"/>
        <v>0</v>
      </c>
      <c r="P24" s="6">
        <f t="shared" si="27"/>
        <v>0</v>
      </c>
      <c r="Q24" s="11">
        <f t="shared" si="28"/>
        <v>15000</v>
      </c>
      <c r="R24" s="12">
        <f t="shared" si="29"/>
        <v>2000000</v>
      </c>
      <c r="S24" s="6">
        <f t="shared" si="30"/>
        <v>2666.6666666666665</v>
      </c>
      <c r="T24" s="13">
        <f t="shared" si="31"/>
        <v>7.3581750328628834E-2</v>
      </c>
      <c r="U24" s="13">
        <f t="shared" si="32"/>
        <v>7.1999999999999998E-3</v>
      </c>
      <c r="V24" s="16">
        <f t="shared" si="33"/>
        <v>215.41800087634354</v>
      </c>
      <c r="W24" s="12">
        <f t="shared" si="34"/>
        <v>15000</v>
      </c>
      <c r="X24" s="14">
        <f t="shared" si="35"/>
        <v>3231270.0131451529</v>
      </c>
      <c r="Z24" s="25"/>
      <c r="AA24" s="25"/>
      <c r="AB24" s="25"/>
      <c r="AC24" s="25"/>
      <c r="AD24" s="25"/>
    </row>
    <row r="25" spans="1:30" x14ac:dyDescent="0.35">
      <c r="B25" s="30"/>
      <c r="C25" s="6"/>
      <c r="D25" s="30"/>
      <c r="E25" s="30"/>
      <c r="F25" s="30"/>
      <c r="G25" s="6"/>
      <c r="H25" s="6"/>
      <c r="I25" s="12"/>
      <c r="J25" s="15"/>
      <c r="K25" s="29"/>
      <c r="L25" s="13"/>
      <c r="M25" s="13"/>
      <c r="N25" s="16"/>
      <c r="O25" s="12"/>
      <c r="P25" s="12"/>
      <c r="Z25" s="25"/>
      <c r="AA25" s="25"/>
      <c r="AB25" s="25"/>
      <c r="AC25" s="25"/>
      <c r="AD25" s="25"/>
    </row>
    <row r="26" spans="1:30" x14ac:dyDescent="0.35">
      <c r="B26" s="30"/>
      <c r="C26" s="6"/>
      <c r="D26" s="30"/>
      <c r="E26" s="30"/>
      <c r="F26" s="30"/>
      <c r="G26" s="6"/>
      <c r="H26" s="6"/>
      <c r="I26" s="12"/>
      <c r="J26" s="15"/>
      <c r="K26" s="29"/>
      <c r="L26" s="13"/>
      <c r="M26" s="13"/>
      <c r="N26" s="16"/>
      <c r="O26" s="12"/>
      <c r="P26" s="12"/>
      <c r="Z26" s="25"/>
      <c r="AA26" s="25"/>
      <c r="AB26" s="25"/>
      <c r="AC26" s="25"/>
      <c r="AD26" s="25"/>
    </row>
    <row r="27" spans="1:30" x14ac:dyDescent="0.35">
      <c r="N27" s="26"/>
      <c r="O27" s="26"/>
      <c r="P27" s="52"/>
      <c r="Q27" s="25"/>
      <c r="V27" s="4" t="s">
        <v>18</v>
      </c>
      <c r="W27" s="4">
        <f>SUM(W20:W24,O20:O24)</f>
        <v>200000</v>
      </c>
      <c r="X27" s="4">
        <f>SUM(X20:X24,P20:P24)</f>
        <v>64553960.440209612</v>
      </c>
      <c r="Z27" s="25"/>
      <c r="AA27" s="26"/>
      <c r="AB27" s="26"/>
      <c r="AC27" s="52"/>
      <c r="AD27" s="25"/>
    </row>
    <row r="28" spans="1:30" x14ac:dyDescent="0.35">
      <c r="V28" s="53" t="s">
        <v>65</v>
      </c>
      <c r="W28" s="54"/>
      <c r="X28" s="55">
        <f>X27/W27</f>
        <v>322.76980220104804</v>
      </c>
      <c r="Z28" s="25"/>
      <c r="AA28" s="25"/>
      <c r="AB28" s="25"/>
      <c r="AC28" s="25"/>
      <c r="AD28" s="25"/>
    </row>
    <row r="29" spans="1:30" x14ac:dyDescent="0.35">
      <c r="A29" s="1" t="s">
        <v>36</v>
      </c>
      <c r="Z29" s="25"/>
      <c r="AA29" s="25"/>
      <c r="AB29" s="25"/>
      <c r="AC29" s="25"/>
      <c r="AD29" s="25"/>
    </row>
    <row r="30" spans="1:30" x14ac:dyDescent="0.35">
      <c r="I30" s="17" t="s">
        <v>22</v>
      </c>
      <c r="J30" s="23"/>
      <c r="K30" s="18"/>
      <c r="L30" s="18"/>
      <c r="M30" s="18"/>
      <c r="N30" s="18"/>
      <c r="O30" s="18"/>
      <c r="P30" s="19"/>
      <c r="Q30" s="20" t="s">
        <v>24</v>
      </c>
      <c r="R30" s="24"/>
      <c r="S30" s="21"/>
      <c r="T30" s="21"/>
      <c r="U30" s="21"/>
      <c r="V30" s="21"/>
      <c r="W30" s="21"/>
      <c r="X30" s="22"/>
      <c r="Z30" s="25"/>
      <c r="AA30" s="25"/>
      <c r="AB30" s="25"/>
      <c r="AC30" s="25"/>
      <c r="AD30" s="25"/>
    </row>
    <row r="31" spans="1:30" ht="72.5" x14ac:dyDescent="0.35">
      <c r="A31" s="7"/>
      <c r="B31" s="7" t="s">
        <v>30</v>
      </c>
      <c r="C31" s="7" t="s">
        <v>16</v>
      </c>
      <c r="D31" s="7" t="s">
        <v>3</v>
      </c>
      <c r="E31" s="7" t="s">
        <v>11</v>
      </c>
      <c r="F31" s="7" t="s">
        <v>1</v>
      </c>
      <c r="G31" s="7" t="s">
        <v>4</v>
      </c>
      <c r="H31" s="7" t="s">
        <v>41</v>
      </c>
      <c r="I31" s="8" t="s">
        <v>23</v>
      </c>
      <c r="J31" s="9" t="s">
        <v>26</v>
      </c>
      <c r="K31" s="9" t="s">
        <v>15</v>
      </c>
      <c r="L31" s="9" t="s">
        <v>17</v>
      </c>
      <c r="M31" s="9" t="s">
        <v>28</v>
      </c>
      <c r="N31" s="9" t="s">
        <v>12</v>
      </c>
      <c r="O31" s="9" t="s">
        <v>21</v>
      </c>
      <c r="P31" s="10" t="s">
        <v>20</v>
      </c>
      <c r="Q31" s="8" t="s">
        <v>25</v>
      </c>
      <c r="R31" s="9" t="s">
        <v>27</v>
      </c>
      <c r="S31" s="9" t="s">
        <v>15</v>
      </c>
      <c r="T31" s="9" t="s">
        <v>17</v>
      </c>
      <c r="U31" s="9" t="s">
        <v>28</v>
      </c>
      <c r="V31" s="9" t="s">
        <v>12</v>
      </c>
      <c r="W31" s="9" t="s">
        <v>21</v>
      </c>
      <c r="X31" s="10" t="s">
        <v>20</v>
      </c>
      <c r="Z31" s="25"/>
      <c r="AA31" s="25"/>
      <c r="AB31" s="25"/>
      <c r="AC31" s="25"/>
      <c r="AD31" s="25"/>
    </row>
    <row r="32" spans="1:30" x14ac:dyDescent="0.35">
      <c r="A32" t="s">
        <v>37</v>
      </c>
      <c r="B32" s="3">
        <v>1</v>
      </c>
      <c r="C32" s="3">
        <v>1800000</v>
      </c>
      <c r="D32" s="2">
        <v>0</v>
      </c>
      <c r="E32" s="2">
        <v>0</v>
      </c>
      <c r="F32" s="3">
        <v>50</v>
      </c>
      <c r="G32" s="3">
        <v>0</v>
      </c>
      <c r="H32" s="3">
        <v>847</v>
      </c>
      <c r="I32" s="6">
        <f>+(H32-G32)*(F32-D32)</f>
        <v>42350</v>
      </c>
      <c r="J32" s="12">
        <f>+I32*$C32/($I32+$Q32)</f>
        <v>1800000</v>
      </c>
      <c r="K32" s="6">
        <f>IF((H32-G32)&gt;0,J32/((H32-G32)*B32),0)</f>
        <v>2125.1475796930345</v>
      </c>
      <c r="L32" s="13">
        <f t="shared" ref="L32:L36" si="36">WACC/(1-(1+WACC)^-(F32-D32))</f>
        <v>4.6550200449541529E-2</v>
      </c>
      <c r="M32" s="13">
        <f t="shared" ref="M32:M36" si="37">Overheads*(F32-D32)/50</f>
        <v>1.7999999999999999E-2</v>
      </c>
      <c r="N32" s="6">
        <f>+K32*(L32+M32)</f>
        <v>137.1787022540434</v>
      </c>
      <c r="O32" s="6">
        <f>+B32*I32</f>
        <v>42350</v>
      </c>
      <c r="P32" s="6">
        <f>+B32*I32*N32</f>
        <v>5809518.0404587379</v>
      </c>
      <c r="Q32" s="11">
        <f>+(F32-E32)*G32</f>
        <v>0</v>
      </c>
      <c r="R32" s="12">
        <f>+Q32*$C32/($I32+$Q32)</f>
        <v>0</v>
      </c>
      <c r="S32" s="6">
        <f>IF(G32&gt;0,+R32/(G32*B32),0)</f>
        <v>0</v>
      </c>
      <c r="T32" s="13">
        <f t="shared" ref="T32:T36" si="38">IF((F32-E32)&gt;0,WACC/(1-(1+WACC)^-(F32-E32)),0)</f>
        <v>4.6550200449541529E-2</v>
      </c>
      <c r="U32" s="13">
        <f t="shared" ref="U32:U36" si="39">Overheads*(F32-E32)/50</f>
        <v>1.7999999999999999E-2</v>
      </c>
      <c r="V32" s="16">
        <f>S32*(T32+U32)</f>
        <v>0</v>
      </c>
      <c r="W32" s="12">
        <f>$B32*Q32</f>
        <v>0</v>
      </c>
      <c r="X32" s="14">
        <f>$B32*Q32*V32</f>
        <v>0</v>
      </c>
      <c r="Z32" s="25"/>
      <c r="AA32" s="25"/>
      <c r="AB32" s="25"/>
      <c r="AC32" s="25"/>
      <c r="AD32" s="25"/>
    </row>
    <row r="33" spans="1:30" x14ac:dyDescent="0.35">
      <c r="A33" t="s">
        <v>38</v>
      </c>
      <c r="B33" s="3">
        <v>1</v>
      </c>
      <c r="C33" s="3">
        <v>1700000</v>
      </c>
      <c r="D33" s="2">
        <v>0</v>
      </c>
      <c r="E33" s="2">
        <v>0</v>
      </c>
      <c r="F33" s="3">
        <v>50</v>
      </c>
      <c r="G33" s="3">
        <v>0</v>
      </c>
      <c r="H33" s="3">
        <v>847</v>
      </c>
      <c r="I33" s="6">
        <f t="shared" ref="I33:I36" si="40">+(H33-G33)*(F33-D33)</f>
        <v>42350</v>
      </c>
      <c r="J33" s="12">
        <f t="shared" ref="J33:J36" si="41">+I33*$C33/($I33+$Q33)</f>
        <v>1700000</v>
      </c>
      <c r="K33" s="6">
        <f t="shared" ref="K33:K36" si="42">IF((H33-G33)&gt;0,J33/((H33-G33)*B33),0)</f>
        <v>2007.0838252656436</v>
      </c>
      <c r="L33" s="13">
        <f t="shared" si="36"/>
        <v>4.6550200449541529E-2</v>
      </c>
      <c r="M33" s="13">
        <f t="shared" si="37"/>
        <v>1.7999999999999999E-2</v>
      </c>
      <c r="N33" s="6">
        <f t="shared" ref="N33:N36" si="43">+K33*(L33+M33)</f>
        <v>129.55766323992989</v>
      </c>
      <c r="O33" s="6">
        <f t="shared" ref="O33:O36" si="44">+B33*I33</f>
        <v>42350</v>
      </c>
      <c r="P33" s="6">
        <f t="shared" ref="P33:P36" si="45">+B33*I33*N33</f>
        <v>5486767.0382110309</v>
      </c>
      <c r="Q33" s="11">
        <f t="shared" ref="Q33:Q36" si="46">+(F33-E33)*G33</f>
        <v>0</v>
      </c>
      <c r="R33" s="12">
        <f t="shared" ref="R33:R36" si="47">+Q33*$C33/($I33+$Q33)</f>
        <v>0</v>
      </c>
      <c r="S33" s="6">
        <f t="shared" ref="S33:S36" si="48">IF(G33&gt;0,+R33/(G33*B33),0)</f>
        <v>0</v>
      </c>
      <c r="T33" s="13">
        <f t="shared" si="38"/>
        <v>4.6550200449541529E-2</v>
      </c>
      <c r="U33" s="13">
        <f t="shared" si="39"/>
        <v>1.7999999999999999E-2</v>
      </c>
      <c r="V33" s="16">
        <f t="shared" ref="V33:V36" si="49">S33*(T33+U33)</f>
        <v>0</v>
      </c>
      <c r="W33" s="12">
        <f t="shared" ref="W33:W36" si="50">$B33*Q33</f>
        <v>0</v>
      </c>
      <c r="X33" s="14">
        <f t="shared" ref="X33:X36" si="51">$B33*Q33*V33</f>
        <v>0</v>
      </c>
      <c r="Z33" s="25"/>
      <c r="AA33" s="25"/>
      <c r="AB33" s="25"/>
      <c r="AC33" s="25"/>
      <c r="AD33" s="25"/>
    </row>
    <row r="34" spans="1:30" x14ac:dyDescent="0.35">
      <c r="A34" t="s">
        <v>39</v>
      </c>
      <c r="B34" s="3">
        <v>1</v>
      </c>
      <c r="C34" s="3">
        <v>3000000</v>
      </c>
      <c r="D34" s="2">
        <v>0</v>
      </c>
      <c r="E34" s="2">
        <v>0</v>
      </c>
      <c r="F34" s="3">
        <v>50</v>
      </c>
      <c r="G34" s="3">
        <v>0</v>
      </c>
      <c r="H34" s="3">
        <v>847</v>
      </c>
      <c r="I34" s="6">
        <f t="shared" si="40"/>
        <v>42350</v>
      </c>
      <c r="J34" s="12">
        <f t="shared" si="41"/>
        <v>3000000</v>
      </c>
      <c r="K34" s="6">
        <f t="shared" si="42"/>
        <v>3541.9126328217239</v>
      </c>
      <c r="L34" s="13">
        <f t="shared" si="36"/>
        <v>4.6550200449541529E-2</v>
      </c>
      <c r="M34" s="13">
        <f t="shared" si="37"/>
        <v>1.7999999999999999E-2</v>
      </c>
      <c r="N34" s="6">
        <f t="shared" si="43"/>
        <v>228.63117042340568</v>
      </c>
      <c r="O34" s="6">
        <f t="shared" si="44"/>
        <v>42350</v>
      </c>
      <c r="P34" s="6">
        <f t="shared" si="45"/>
        <v>9682530.0674312301</v>
      </c>
      <c r="Q34" s="11">
        <f t="shared" si="46"/>
        <v>0</v>
      </c>
      <c r="R34" s="12">
        <f t="shared" si="47"/>
        <v>0</v>
      </c>
      <c r="S34" s="6">
        <f t="shared" si="48"/>
        <v>0</v>
      </c>
      <c r="T34" s="13">
        <f t="shared" si="38"/>
        <v>4.6550200449541529E-2</v>
      </c>
      <c r="U34" s="13">
        <f t="shared" si="39"/>
        <v>1.7999999999999999E-2</v>
      </c>
      <c r="V34" s="16">
        <f t="shared" si="49"/>
        <v>0</v>
      </c>
      <c r="W34" s="12">
        <f t="shared" si="50"/>
        <v>0</v>
      </c>
      <c r="X34" s="14">
        <f t="shared" si="51"/>
        <v>0</v>
      </c>
      <c r="Z34" s="25"/>
      <c r="AA34" s="25"/>
      <c r="AB34" s="25"/>
      <c r="AC34" s="25"/>
      <c r="AD34" s="25"/>
    </row>
    <row r="35" spans="1:30" x14ac:dyDescent="0.35">
      <c r="A35" t="s">
        <v>40</v>
      </c>
      <c r="B35" s="3">
        <v>1</v>
      </c>
      <c r="C35" s="3">
        <v>4500000</v>
      </c>
      <c r="D35" s="2">
        <v>0</v>
      </c>
      <c r="E35" s="2">
        <v>0</v>
      </c>
      <c r="F35" s="3">
        <v>50</v>
      </c>
      <c r="G35" s="3">
        <v>0</v>
      </c>
      <c r="H35" s="3">
        <v>847</v>
      </c>
      <c r="I35" s="6">
        <f t="shared" si="40"/>
        <v>42350</v>
      </c>
      <c r="J35" s="12">
        <f t="shared" si="41"/>
        <v>4500000</v>
      </c>
      <c r="K35" s="6">
        <f t="shared" si="42"/>
        <v>5312.8689492325857</v>
      </c>
      <c r="L35" s="13">
        <f t="shared" si="36"/>
        <v>4.6550200449541529E-2</v>
      </c>
      <c r="M35" s="13">
        <f t="shared" si="37"/>
        <v>1.7999999999999999E-2</v>
      </c>
      <c r="N35" s="6">
        <f t="shared" si="43"/>
        <v>342.9467556351085</v>
      </c>
      <c r="O35" s="6">
        <f t="shared" si="44"/>
        <v>42350</v>
      </c>
      <c r="P35" s="6">
        <f t="shared" si="45"/>
        <v>14523795.101146845</v>
      </c>
      <c r="Q35" s="11">
        <f t="shared" si="46"/>
        <v>0</v>
      </c>
      <c r="R35" s="12">
        <f t="shared" si="47"/>
        <v>0</v>
      </c>
      <c r="S35" s="6">
        <f t="shared" si="48"/>
        <v>0</v>
      </c>
      <c r="T35" s="13">
        <f t="shared" si="38"/>
        <v>4.6550200449541529E-2</v>
      </c>
      <c r="U35" s="13">
        <f t="shared" si="39"/>
        <v>1.7999999999999999E-2</v>
      </c>
      <c r="V35" s="16">
        <f t="shared" si="49"/>
        <v>0</v>
      </c>
      <c r="W35" s="12">
        <f t="shared" si="50"/>
        <v>0</v>
      </c>
      <c r="X35" s="14">
        <f t="shared" si="51"/>
        <v>0</v>
      </c>
      <c r="Z35" s="25"/>
      <c r="AA35" s="25"/>
      <c r="AB35" s="25"/>
      <c r="AC35" s="25"/>
      <c r="AD35" s="25"/>
    </row>
    <row r="36" spans="1:30" x14ac:dyDescent="0.35">
      <c r="A36" t="s">
        <v>35</v>
      </c>
      <c r="B36" s="3">
        <v>1</v>
      </c>
      <c r="C36" s="3">
        <v>50000</v>
      </c>
      <c r="D36" s="2">
        <v>45</v>
      </c>
      <c r="E36" s="2">
        <v>50</v>
      </c>
      <c r="F36" s="3">
        <v>70</v>
      </c>
      <c r="G36" s="3">
        <v>847</v>
      </c>
      <c r="H36" s="3">
        <v>847</v>
      </c>
      <c r="I36" s="6">
        <f t="shared" si="40"/>
        <v>0</v>
      </c>
      <c r="J36" s="12">
        <f t="shared" si="41"/>
        <v>0</v>
      </c>
      <c r="K36" s="6">
        <f t="shared" si="42"/>
        <v>0</v>
      </c>
      <c r="L36" s="13">
        <f t="shared" si="36"/>
        <v>6.401196278645456E-2</v>
      </c>
      <c r="M36" s="13">
        <f t="shared" si="37"/>
        <v>8.9999999999999993E-3</v>
      </c>
      <c r="N36" s="6">
        <f t="shared" si="43"/>
        <v>0</v>
      </c>
      <c r="O36" s="6">
        <f t="shared" si="44"/>
        <v>0</v>
      </c>
      <c r="P36" s="6">
        <f t="shared" si="45"/>
        <v>0</v>
      </c>
      <c r="Q36" s="11">
        <f t="shared" si="46"/>
        <v>16940</v>
      </c>
      <c r="R36" s="12">
        <f t="shared" si="47"/>
        <v>50000</v>
      </c>
      <c r="S36" s="6">
        <f t="shared" si="48"/>
        <v>59.031877213695395</v>
      </c>
      <c r="T36" s="13">
        <f t="shared" si="38"/>
        <v>7.3581750328628834E-2</v>
      </c>
      <c r="U36" s="13">
        <f t="shared" si="39"/>
        <v>7.1999999999999998E-3</v>
      </c>
      <c r="V36" s="16">
        <f t="shared" si="49"/>
        <v>4.7686983665070146</v>
      </c>
      <c r="W36" s="12">
        <f t="shared" si="50"/>
        <v>16940</v>
      </c>
      <c r="X36" s="14">
        <f t="shared" si="51"/>
        <v>80781.750328628827</v>
      </c>
      <c r="Z36" s="25"/>
      <c r="AA36" s="25"/>
      <c r="AB36" s="25"/>
      <c r="AC36" s="25"/>
      <c r="AD36" s="25"/>
    </row>
    <row r="37" spans="1:30" x14ac:dyDescent="0.35">
      <c r="I37" s="12"/>
      <c r="J37" s="15"/>
      <c r="K37" s="29"/>
      <c r="L37" s="13"/>
      <c r="M37" s="13"/>
      <c r="N37" s="16"/>
      <c r="O37" s="12"/>
      <c r="P37" s="12"/>
      <c r="Z37" s="25"/>
      <c r="AA37" s="25"/>
      <c r="AB37" s="25"/>
      <c r="AC37" s="25"/>
      <c r="AD37" s="25"/>
    </row>
    <row r="38" spans="1:30" x14ac:dyDescent="0.35">
      <c r="I38" s="12"/>
      <c r="J38" s="15"/>
      <c r="K38" s="29"/>
      <c r="L38" s="13"/>
      <c r="M38" s="13"/>
      <c r="N38" s="16"/>
      <c r="O38" s="12"/>
      <c r="P38" s="12"/>
      <c r="Z38" s="25"/>
      <c r="AA38" s="25"/>
      <c r="AB38" s="25"/>
      <c r="AC38" s="25"/>
      <c r="AD38" s="25"/>
    </row>
    <row r="39" spans="1:30" x14ac:dyDescent="0.35">
      <c r="N39" s="26"/>
      <c r="O39" s="26"/>
      <c r="P39" s="52"/>
      <c r="Q39" s="25"/>
      <c r="V39" s="4" t="s">
        <v>18</v>
      </c>
      <c r="W39" s="4">
        <f>SUM(W32:W36,O32:O36)</f>
        <v>186340</v>
      </c>
      <c r="X39" s="4">
        <f>SUM(X32:X36,P32:P36)</f>
        <v>35583391.997576475</v>
      </c>
      <c r="Z39" s="25"/>
      <c r="AA39" s="26"/>
      <c r="AB39" s="26"/>
      <c r="AC39" s="52"/>
      <c r="AD39" s="25"/>
    </row>
    <row r="40" spans="1:30" x14ac:dyDescent="0.35">
      <c r="V40" s="53" t="s">
        <v>66</v>
      </c>
      <c r="W40" s="54"/>
      <c r="X40" s="55">
        <f>X39/W39</f>
        <v>190.95949338615688</v>
      </c>
      <c r="Z40" s="25"/>
      <c r="AA40" s="25"/>
      <c r="AB40" s="25"/>
      <c r="AC40" s="25"/>
      <c r="AD40" s="25"/>
    </row>
    <row r="41" spans="1:30" x14ac:dyDescent="0.35">
      <c r="Z41" s="25"/>
      <c r="AA41" s="25"/>
      <c r="AB41" s="25"/>
      <c r="AC41" s="25"/>
      <c r="AD41" s="25"/>
    </row>
    <row r="43" spans="1:30" x14ac:dyDescent="0.35">
      <c r="A43" s="58" t="s">
        <v>63</v>
      </c>
      <c r="B43" s="59"/>
      <c r="C43" s="59"/>
      <c r="D43" s="59"/>
    </row>
    <row r="44" spans="1:30" x14ac:dyDescent="0.35">
      <c r="A44" s="33"/>
      <c r="B44" s="12"/>
      <c r="C44" s="12"/>
      <c r="D44" s="33"/>
    </row>
    <row r="45" spans="1:30" x14ac:dyDescent="0.35">
      <c r="A45" s="42"/>
      <c r="B45" s="43" t="s">
        <v>55</v>
      </c>
      <c r="C45" s="44"/>
      <c r="D45" s="42"/>
    </row>
    <row r="46" spans="1:30" x14ac:dyDescent="0.35">
      <c r="A46" s="42"/>
      <c r="B46" s="45" t="s">
        <v>46</v>
      </c>
      <c r="C46" s="39">
        <f>+X16</f>
        <v>9.2352078670543953</v>
      </c>
      <c r="D46" s="42"/>
    </row>
    <row r="47" spans="1:30" x14ac:dyDescent="0.35">
      <c r="A47" s="42"/>
      <c r="B47" s="44" t="s">
        <v>44</v>
      </c>
      <c r="C47" s="39">
        <v>14.56</v>
      </c>
      <c r="D47" s="42"/>
    </row>
    <row r="48" spans="1:30" x14ac:dyDescent="0.35">
      <c r="A48" s="42"/>
      <c r="B48" s="47" t="s">
        <v>42</v>
      </c>
      <c r="C48" s="2">
        <v>150</v>
      </c>
      <c r="D48" s="42"/>
    </row>
    <row r="49" spans="1:4" x14ac:dyDescent="0.35">
      <c r="A49" s="42"/>
      <c r="B49" s="47" t="s">
        <v>62</v>
      </c>
      <c r="C49" s="2">
        <v>160</v>
      </c>
      <c r="D49" s="42"/>
    </row>
    <row r="50" spans="1:4" ht="15" thickBot="1" x14ac:dyDescent="0.4">
      <c r="A50" s="42"/>
      <c r="B50" s="42"/>
      <c r="C50" s="44"/>
      <c r="D50" s="42"/>
    </row>
    <row r="51" spans="1:4" ht="15" thickBot="1" x14ac:dyDescent="0.4">
      <c r="A51" s="42"/>
      <c r="B51" s="56" t="s">
        <v>50</v>
      </c>
      <c r="C51" s="57">
        <f>+(C47*2*(C49/C48)+C46)/3</f>
        <v>13.432180400129242</v>
      </c>
      <c r="D51" s="42"/>
    </row>
    <row r="52" spans="1:4" x14ac:dyDescent="0.35">
      <c r="A52" s="42"/>
      <c r="B52" s="42"/>
      <c r="C52" s="46"/>
      <c r="D52" s="42"/>
    </row>
    <row r="53" spans="1:4" x14ac:dyDescent="0.35">
      <c r="A53" s="33"/>
      <c r="B53" s="33"/>
      <c r="C53" s="33"/>
      <c r="D53" s="33"/>
    </row>
    <row r="54" spans="1:4" x14ac:dyDescent="0.35">
      <c r="A54" s="42"/>
      <c r="B54" s="48" t="s">
        <v>56</v>
      </c>
      <c r="C54" s="42"/>
      <c r="D54" s="42"/>
    </row>
    <row r="55" spans="1:4" x14ac:dyDescent="0.35">
      <c r="A55" s="48"/>
      <c r="B55" s="42" t="s">
        <v>45</v>
      </c>
      <c r="C55" s="41">
        <v>21</v>
      </c>
      <c r="D55" s="42"/>
    </row>
    <row r="56" spans="1:4" x14ac:dyDescent="0.35">
      <c r="A56" s="42"/>
      <c r="B56" s="42" t="s">
        <v>46</v>
      </c>
      <c r="C56" s="39">
        <f>+C46</f>
        <v>9.2352078670543953</v>
      </c>
      <c r="D56" s="42"/>
    </row>
    <row r="57" spans="1:4" x14ac:dyDescent="0.35">
      <c r="A57" s="49"/>
      <c r="B57" s="44" t="s">
        <v>44</v>
      </c>
      <c r="C57" s="39">
        <v>14.56</v>
      </c>
      <c r="D57" s="49"/>
    </row>
    <row r="58" spans="1:4" x14ac:dyDescent="0.35">
      <c r="A58" s="42"/>
      <c r="B58" s="47" t="s">
        <v>49</v>
      </c>
      <c r="C58" s="2">
        <v>150</v>
      </c>
      <c r="D58" s="42"/>
    </row>
    <row r="59" spans="1:4" x14ac:dyDescent="0.35">
      <c r="A59" s="42"/>
      <c r="B59" s="47" t="s">
        <v>48</v>
      </c>
      <c r="C59" s="2">
        <v>160</v>
      </c>
      <c r="D59" s="42"/>
    </row>
    <row r="60" spans="1:4" x14ac:dyDescent="0.35">
      <c r="A60" s="42"/>
      <c r="B60" s="47" t="s">
        <v>47</v>
      </c>
      <c r="C60" s="31">
        <v>170</v>
      </c>
      <c r="D60" s="42"/>
    </row>
    <row r="61" spans="1:4" x14ac:dyDescent="0.35">
      <c r="A61" s="42"/>
      <c r="B61" s="42"/>
      <c r="C61" s="42"/>
      <c r="D61" s="42"/>
    </row>
    <row r="62" spans="1:4" x14ac:dyDescent="0.35">
      <c r="A62" s="42"/>
      <c r="B62" s="42" t="s">
        <v>52</v>
      </c>
      <c r="C62" s="41">
        <f>+C56*C60/C59</f>
        <v>9.8124083587452944</v>
      </c>
      <c r="D62" s="42"/>
    </row>
    <row r="63" spans="1:4" ht="15" thickBot="1" x14ac:dyDescent="0.4">
      <c r="A63" s="42"/>
      <c r="B63" s="44" t="s">
        <v>53</v>
      </c>
      <c r="C63" s="41">
        <f>+C57*C60/C58</f>
        <v>16.501333333333335</v>
      </c>
      <c r="D63" s="42"/>
    </row>
    <row r="64" spans="1:4" ht="15" thickBot="1" x14ac:dyDescent="0.4">
      <c r="A64" s="47"/>
      <c r="B64" s="56" t="s">
        <v>51</v>
      </c>
      <c r="C64" s="57">
        <f>AVERAGE(C62:C63,C55)</f>
        <v>15.771247230692877</v>
      </c>
      <c r="D64" s="47"/>
    </row>
    <row r="65" spans="1:4" x14ac:dyDescent="0.35">
      <c r="A65" s="47"/>
      <c r="B65" s="42"/>
      <c r="C65" s="46"/>
      <c r="D65" s="47"/>
    </row>
    <row r="66" spans="1:4" x14ac:dyDescent="0.35">
      <c r="A66" s="30"/>
      <c r="B66" s="33"/>
      <c r="C66" s="40"/>
      <c r="D66" s="30"/>
    </row>
    <row r="68" spans="1:4" x14ac:dyDescent="0.35">
      <c r="A68" s="47"/>
      <c r="B68" s="50" t="s">
        <v>64</v>
      </c>
      <c r="C68" s="47"/>
      <c r="D68" s="47"/>
    </row>
    <row r="69" spans="1:4" x14ac:dyDescent="0.35">
      <c r="A69" s="47"/>
      <c r="B69" s="42" t="s">
        <v>54</v>
      </c>
      <c r="C69" s="51">
        <v>10</v>
      </c>
      <c r="D69" s="47"/>
    </row>
    <row r="70" spans="1:4" x14ac:dyDescent="0.35">
      <c r="A70" s="47"/>
      <c r="B70" s="42" t="s">
        <v>45</v>
      </c>
      <c r="C70" s="41">
        <v>21</v>
      </c>
      <c r="D70" s="47"/>
    </row>
    <row r="71" spans="1:4" x14ac:dyDescent="0.35">
      <c r="A71" s="47"/>
      <c r="B71" s="42" t="s">
        <v>46</v>
      </c>
      <c r="C71" s="39">
        <f>+C46</f>
        <v>9.2352078670543953</v>
      </c>
      <c r="D71" s="47"/>
    </row>
    <row r="72" spans="1:4" x14ac:dyDescent="0.35">
      <c r="A72" s="47"/>
      <c r="B72" s="47" t="s">
        <v>48</v>
      </c>
      <c r="C72" s="2">
        <v>160</v>
      </c>
      <c r="D72" s="47"/>
    </row>
    <row r="73" spans="1:4" x14ac:dyDescent="0.35">
      <c r="A73" s="47"/>
      <c r="B73" s="47" t="s">
        <v>58</v>
      </c>
      <c r="C73" s="2">
        <v>170</v>
      </c>
      <c r="D73" s="47"/>
    </row>
    <row r="74" spans="1:4" x14ac:dyDescent="0.35">
      <c r="A74" s="47"/>
      <c r="B74" s="47" t="s">
        <v>57</v>
      </c>
      <c r="C74" s="31">
        <v>180</v>
      </c>
      <c r="D74" s="47"/>
    </row>
    <row r="75" spans="1:4" x14ac:dyDescent="0.35">
      <c r="A75" s="47"/>
      <c r="B75" s="47"/>
      <c r="C75" s="47"/>
      <c r="D75" s="47"/>
    </row>
    <row r="76" spans="1:4" x14ac:dyDescent="0.35">
      <c r="A76" s="47"/>
      <c r="B76" s="42" t="s">
        <v>59</v>
      </c>
      <c r="C76" s="51">
        <f>+C70*C74/C73</f>
        <v>22.235294117647058</v>
      </c>
      <c r="D76" s="47"/>
    </row>
    <row r="77" spans="1:4" ht="15" thickBot="1" x14ac:dyDescent="0.4">
      <c r="A77" s="47"/>
      <c r="B77" s="42" t="s">
        <v>60</v>
      </c>
      <c r="C77" s="51">
        <f>+C71*C74/C72</f>
        <v>10.389608850436193</v>
      </c>
      <c r="D77" s="47"/>
    </row>
    <row r="78" spans="1:4" ht="15" thickBot="1" x14ac:dyDescent="0.4">
      <c r="A78" s="47"/>
      <c r="B78" s="56" t="s">
        <v>61</v>
      </c>
      <c r="C78" s="57">
        <f>AVERAGE(C76:C77,C69)</f>
        <v>14.208300989361083</v>
      </c>
      <c r="D78" s="47"/>
    </row>
    <row r="79" spans="1:4" x14ac:dyDescent="0.35">
      <c r="A79" s="47"/>
      <c r="B79" s="47"/>
      <c r="C79" s="47"/>
      <c r="D79" s="47"/>
    </row>
  </sheetData>
  <mergeCells count="1">
    <mergeCell ref="A43:D43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45E9F-FAAA-4EAF-81AD-07FEFDF26765}">
  <dimension ref="A4:AD55"/>
  <sheetViews>
    <sheetView workbookViewId="0">
      <selection activeCell="E19" sqref="E19"/>
    </sheetView>
  </sheetViews>
  <sheetFormatPr defaultRowHeight="14.5" x14ac:dyDescent="0.35"/>
  <cols>
    <col min="1" max="1" width="12.90625" bestFit="1" customWidth="1"/>
    <col min="2" max="2" width="22.1796875" bestFit="1" customWidth="1"/>
    <col min="3" max="3" width="10.1796875" bestFit="1" customWidth="1"/>
    <col min="10" max="10" width="11.54296875" customWidth="1"/>
    <col min="12" max="12" width="12.453125" customWidth="1"/>
    <col min="13" max="13" width="9.453125" customWidth="1"/>
    <col min="15" max="15" width="21.7265625" customWidth="1"/>
    <col min="16" max="16" width="11.1796875" bestFit="1" customWidth="1"/>
    <col min="17" max="17" width="15.54296875" bestFit="1" customWidth="1"/>
    <col min="18" max="18" width="15.54296875" customWidth="1"/>
    <col min="19" max="19" width="15" customWidth="1"/>
    <col min="20" max="20" width="8.453125" bestFit="1" customWidth="1"/>
    <col min="21" max="21" width="9.7265625" customWidth="1"/>
    <col min="22" max="22" width="17.7265625" bestFit="1" customWidth="1"/>
    <col min="23" max="23" width="10.1796875" bestFit="1" customWidth="1"/>
    <col min="24" max="24" width="11.81640625" bestFit="1" customWidth="1"/>
    <col min="29" max="29" width="11.81640625" bestFit="1" customWidth="1"/>
  </cols>
  <sheetData>
    <row r="4" spans="1:30" x14ac:dyDescent="0.35">
      <c r="A4" s="1"/>
      <c r="I4" s="17" t="s">
        <v>22</v>
      </c>
      <c r="J4" s="23"/>
      <c r="K4" s="18"/>
      <c r="L4" s="18"/>
      <c r="M4" s="18"/>
      <c r="N4" s="18"/>
      <c r="O4" s="18"/>
      <c r="P4" s="19"/>
      <c r="Q4" s="20" t="s">
        <v>24</v>
      </c>
      <c r="R4" s="24"/>
      <c r="S4" s="21"/>
      <c r="T4" s="21"/>
      <c r="U4" s="21"/>
      <c r="V4" s="21"/>
      <c r="W4" s="21"/>
      <c r="X4" s="22"/>
      <c r="AB4" s="1"/>
    </row>
    <row r="5" spans="1:30" ht="72.5" x14ac:dyDescent="0.35">
      <c r="A5" s="7"/>
      <c r="B5" s="7" t="s">
        <v>0</v>
      </c>
      <c r="C5" s="7" t="s">
        <v>16</v>
      </c>
      <c r="D5" s="7" t="s">
        <v>3</v>
      </c>
      <c r="E5" s="7" t="s">
        <v>11</v>
      </c>
      <c r="F5" s="7" t="s">
        <v>1</v>
      </c>
      <c r="G5" s="7" t="s">
        <v>4</v>
      </c>
      <c r="H5" s="7" t="s">
        <v>2</v>
      </c>
      <c r="I5" s="8" t="s">
        <v>23</v>
      </c>
      <c r="J5" s="9" t="s">
        <v>26</v>
      </c>
      <c r="K5" s="9" t="s">
        <v>15</v>
      </c>
      <c r="L5" s="9" t="s">
        <v>17</v>
      </c>
      <c r="M5" s="9" t="s">
        <v>28</v>
      </c>
      <c r="N5" s="9" t="s">
        <v>12</v>
      </c>
      <c r="O5" s="9" t="s">
        <v>21</v>
      </c>
      <c r="P5" s="10" t="s">
        <v>20</v>
      </c>
      <c r="Q5" s="8" t="s">
        <v>25</v>
      </c>
      <c r="R5" s="9" t="s">
        <v>27</v>
      </c>
      <c r="S5" s="9" t="s">
        <v>15</v>
      </c>
      <c r="T5" s="9" t="s">
        <v>17</v>
      </c>
      <c r="U5" s="9" t="s">
        <v>28</v>
      </c>
      <c r="V5" s="9" t="s">
        <v>12</v>
      </c>
      <c r="W5" s="9" t="s">
        <v>21</v>
      </c>
      <c r="X5" s="10" t="s">
        <v>20</v>
      </c>
      <c r="Y5" s="7"/>
      <c r="Z5" s="7"/>
      <c r="AA5" s="7"/>
      <c r="AB5" s="7"/>
      <c r="AC5" s="7"/>
      <c r="AD5" s="7"/>
    </row>
    <row r="6" spans="1:30" x14ac:dyDescent="0.35">
      <c r="A6" t="s">
        <v>5</v>
      </c>
      <c r="B6" s="3">
        <v>10</v>
      </c>
      <c r="C6" s="3">
        <v>5000000</v>
      </c>
      <c r="D6" s="2">
        <v>0</v>
      </c>
      <c r="E6" s="2">
        <v>0</v>
      </c>
      <c r="F6" s="3">
        <v>50</v>
      </c>
      <c r="G6" s="3">
        <v>0</v>
      </c>
      <c r="H6" s="3">
        <v>2000</v>
      </c>
      <c r="I6" s="6">
        <f>+(H6-G6)*(F6-D6)</f>
        <v>100000</v>
      </c>
      <c r="J6" s="12">
        <f>+I6*$C6/($I6+$Q6)</f>
        <v>5000000</v>
      </c>
      <c r="K6" s="6">
        <f>IF((H6-G6)&gt;0,J6/((H6-G6)*B6),0)</f>
        <v>250</v>
      </c>
      <c r="L6" s="13">
        <f t="shared" ref="L6:L12" si="0">WACC/(1-(1+WACC)^-(F6-D6))</f>
        <v>4.6550200449541529E-2</v>
      </c>
      <c r="M6" s="13">
        <f t="shared" ref="M6:M12" si="1">Overheads*(F6-D6)/50</f>
        <v>1.7999999999999999E-2</v>
      </c>
      <c r="N6" s="6">
        <f>+K6*(L6+M6)</f>
        <v>16.137550112385384</v>
      </c>
      <c r="O6" s="6">
        <f>+B6*I6</f>
        <v>1000000</v>
      </c>
      <c r="P6" s="6">
        <f>+B6*I6*N6</f>
        <v>16137550.112385383</v>
      </c>
      <c r="Q6" s="11">
        <f>+(F6-E6)*G6</f>
        <v>0</v>
      </c>
      <c r="R6" s="12">
        <f>+Q6*$C6/($I6+$Q6)</f>
        <v>0</v>
      </c>
      <c r="S6" s="6">
        <f>IF(G6&gt;0,+R6/(G6*B6),0)</f>
        <v>0</v>
      </c>
      <c r="T6" s="13">
        <f t="shared" ref="T6:T12" si="2">IF((F6-E6)&gt;0,WACC/(1-(1+WACC)^-(F6-E6)),0)</f>
        <v>4.6550200449541529E-2</v>
      </c>
      <c r="U6" s="13">
        <f t="shared" ref="U6:U12" si="3">Overheads*(F6-E6)/50</f>
        <v>1.7999999999999999E-2</v>
      </c>
      <c r="V6" s="16">
        <f>S6*(T6+U6)</f>
        <v>0</v>
      </c>
      <c r="W6" s="12">
        <f>$B6*Q6</f>
        <v>0</v>
      </c>
      <c r="X6" s="14">
        <f>$B6*Q6*V6</f>
        <v>0</v>
      </c>
      <c r="Z6" s="4"/>
    </row>
    <row r="7" spans="1:30" x14ac:dyDescent="0.35">
      <c r="A7" t="s">
        <v>19</v>
      </c>
      <c r="B7" s="3">
        <v>20</v>
      </c>
      <c r="C7" s="3">
        <v>11000000</v>
      </c>
      <c r="D7" s="2">
        <v>0</v>
      </c>
      <c r="E7" s="2">
        <v>0</v>
      </c>
      <c r="F7" s="3">
        <v>50</v>
      </c>
      <c r="G7" s="3">
        <v>0</v>
      </c>
      <c r="H7" s="3">
        <v>2500</v>
      </c>
      <c r="I7" s="6">
        <f t="shared" ref="I7:I12" si="4">+(H7-G7)*(F7-D7)</f>
        <v>125000</v>
      </c>
      <c r="J7" s="12">
        <f t="shared" ref="J7:J12" si="5">+I7*$C7/($I7+$Q7)</f>
        <v>11000000</v>
      </c>
      <c r="K7" s="6">
        <f t="shared" ref="K7:K12" si="6">IF((H7-G7)&gt;0,J7/((H7-G7)*B7),0)</f>
        <v>220</v>
      </c>
      <c r="L7" s="13">
        <f t="shared" si="0"/>
        <v>4.6550200449541529E-2</v>
      </c>
      <c r="M7" s="13">
        <f t="shared" si="1"/>
        <v>1.7999999999999999E-2</v>
      </c>
      <c r="N7" s="6">
        <f t="shared" ref="N7:N12" si="7">+K7*(L7+M7)</f>
        <v>14.201044098899137</v>
      </c>
      <c r="O7" s="6">
        <f t="shared" ref="O7:O12" si="8">+B7*I7</f>
        <v>2500000</v>
      </c>
      <c r="P7" s="6">
        <f t="shared" ref="P7:P12" si="9">+B7*I7*N7</f>
        <v>35502610.247247845</v>
      </c>
      <c r="Q7" s="11">
        <f t="shared" ref="Q7:Q12" si="10">+(F7-E7)*G7</f>
        <v>0</v>
      </c>
      <c r="R7" s="12">
        <f t="shared" ref="R7:R12" si="11">+Q7*$C7/($I7+$Q7)</f>
        <v>0</v>
      </c>
      <c r="S7" s="6">
        <f t="shared" ref="S7:S12" si="12">IF(G7&gt;0,+R7/(G7*B7),0)</f>
        <v>0</v>
      </c>
      <c r="T7" s="13">
        <f t="shared" si="2"/>
        <v>4.6550200449541529E-2</v>
      </c>
      <c r="U7" s="13">
        <f t="shared" si="3"/>
        <v>1.7999999999999999E-2</v>
      </c>
      <c r="V7" s="16">
        <f t="shared" ref="V7:V11" si="13">S7*(T7+U7)</f>
        <v>0</v>
      </c>
      <c r="W7" s="12">
        <f t="shared" ref="W7:W12" si="14">$B7*Q7</f>
        <v>0</v>
      </c>
      <c r="X7" s="14">
        <f t="shared" ref="X7:X12" si="15">$B7*Q7*V7</f>
        <v>0</v>
      </c>
      <c r="Z7" s="4"/>
    </row>
    <row r="8" spans="1:30" x14ac:dyDescent="0.35">
      <c r="A8" t="s">
        <v>6</v>
      </c>
      <c r="B8" s="3">
        <v>15</v>
      </c>
      <c r="C8" s="3">
        <v>8625000</v>
      </c>
      <c r="D8" s="2">
        <v>0</v>
      </c>
      <c r="E8" s="2">
        <v>0</v>
      </c>
      <c r="F8" s="3">
        <v>50</v>
      </c>
      <c r="G8" s="3">
        <v>0</v>
      </c>
      <c r="H8" s="3">
        <v>2700</v>
      </c>
      <c r="I8" s="6">
        <f t="shared" si="4"/>
        <v>135000</v>
      </c>
      <c r="J8" s="12">
        <f t="shared" si="5"/>
        <v>8625000</v>
      </c>
      <c r="K8" s="6">
        <f t="shared" si="6"/>
        <v>212.96296296296296</v>
      </c>
      <c r="L8" s="13">
        <f t="shared" si="0"/>
        <v>4.6550200449541529E-2</v>
      </c>
      <c r="M8" s="13">
        <f t="shared" si="1"/>
        <v>1.7999999999999999E-2</v>
      </c>
      <c r="N8" s="6">
        <f t="shared" si="7"/>
        <v>13.746801947587548</v>
      </c>
      <c r="O8" s="6">
        <f t="shared" si="8"/>
        <v>2025000</v>
      </c>
      <c r="P8" s="6">
        <f t="shared" si="9"/>
        <v>27837273.943864785</v>
      </c>
      <c r="Q8" s="11">
        <f t="shared" si="10"/>
        <v>0</v>
      </c>
      <c r="R8" s="12">
        <f t="shared" si="11"/>
        <v>0</v>
      </c>
      <c r="S8" s="6">
        <f t="shared" si="12"/>
        <v>0</v>
      </c>
      <c r="T8" s="13">
        <f t="shared" si="2"/>
        <v>4.6550200449541529E-2</v>
      </c>
      <c r="U8" s="13">
        <f t="shared" si="3"/>
        <v>1.7999999999999999E-2</v>
      </c>
      <c r="V8" s="16">
        <f t="shared" si="13"/>
        <v>0</v>
      </c>
      <c r="W8" s="12">
        <f t="shared" si="14"/>
        <v>0</v>
      </c>
      <c r="X8" s="14">
        <f t="shared" si="15"/>
        <v>0</v>
      </c>
      <c r="Z8" s="4"/>
    </row>
    <row r="9" spans="1:30" x14ac:dyDescent="0.35">
      <c r="A9" t="s">
        <v>7</v>
      </c>
      <c r="B9" s="3">
        <v>75</v>
      </c>
      <c r="C9" s="3">
        <v>52500000</v>
      </c>
      <c r="D9" s="2">
        <v>0</v>
      </c>
      <c r="E9" s="2">
        <v>0</v>
      </c>
      <c r="F9" s="3">
        <v>50</v>
      </c>
      <c r="G9" s="3">
        <v>0</v>
      </c>
      <c r="H9" s="3">
        <v>3120</v>
      </c>
      <c r="I9" s="6">
        <f t="shared" si="4"/>
        <v>156000</v>
      </c>
      <c r="J9" s="12">
        <f t="shared" si="5"/>
        <v>52500000</v>
      </c>
      <c r="K9" s="6">
        <f t="shared" si="6"/>
        <v>224.35897435897436</v>
      </c>
      <c r="L9" s="13">
        <f t="shared" si="0"/>
        <v>4.6550200449541529E-2</v>
      </c>
      <c r="M9" s="13">
        <f t="shared" si="1"/>
        <v>1.7999999999999999E-2</v>
      </c>
      <c r="N9" s="6">
        <f t="shared" si="7"/>
        <v>14.482416767525343</v>
      </c>
      <c r="O9" s="6">
        <f t="shared" si="8"/>
        <v>11700000</v>
      </c>
      <c r="P9" s="6">
        <f t="shared" si="9"/>
        <v>169444276.18004653</v>
      </c>
      <c r="Q9" s="11">
        <f t="shared" si="10"/>
        <v>0</v>
      </c>
      <c r="R9" s="12">
        <f t="shared" si="11"/>
        <v>0</v>
      </c>
      <c r="S9" s="6">
        <f t="shared" si="12"/>
        <v>0</v>
      </c>
      <c r="T9" s="13">
        <f t="shared" si="2"/>
        <v>4.6550200449541529E-2</v>
      </c>
      <c r="U9" s="13">
        <f t="shared" si="3"/>
        <v>1.7999999999999999E-2</v>
      </c>
      <c r="V9" s="16">
        <f t="shared" si="13"/>
        <v>0</v>
      </c>
      <c r="W9" s="12">
        <f t="shared" si="14"/>
        <v>0</v>
      </c>
      <c r="X9" s="14">
        <f t="shared" si="15"/>
        <v>0</v>
      </c>
      <c r="Z9" s="4"/>
    </row>
    <row r="10" spans="1:30" x14ac:dyDescent="0.35">
      <c r="A10" t="s">
        <v>8</v>
      </c>
      <c r="B10" s="2">
        <v>75</v>
      </c>
      <c r="C10" s="3">
        <v>18750000</v>
      </c>
      <c r="D10" s="2">
        <v>30</v>
      </c>
      <c r="E10" s="2">
        <v>50</v>
      </c>
      <c r="F10" s="2">
        <v>50</v>
      </c>
      <c r="G10" s="3">
        <v>2000</v>
      </c>
      <c r="H10" s="3">
        <v>2500</v>
      </c>
      <c r="I10" s="6">
        <f t="shared" si="4"/>
        <v>10000</v>
      </c>
      <c r="J10" s="12">
        <f t="shared" si="5"/>
        <v>18750000</v>
      </c>
      <c r="K10" s="6">
        <f t="shared" si="6"/>
        <v>500</v>
      </c>
      <c r="L10" s="13">
        <f t="shared" si="0"/>
        <v>7.3581750328628834E-2</v>
      </c>
      <c r="M10" s="13">
        <f t="shared" si="1"/>
        <v>7.1999999999999998E-3</v>
      </c>
      <c r="N10" s="6">
        <f t="shared" si="7"/>
        <v>40.390875164314416</v>
      </c>
      <c r="O10" s="6">
        <f t="shared" si="8"/>
        <v>750000</v>
      </c>
      <c r="P10" s="6">
        <f t="shared" si="9"/>
        <v>30293156.373235811</v>
      </c>
      <c r="Q10" s="11">
        <f t="shared" si="10"/>
        <v>0</v>
      </c>
      <c r="R10" s="12">
        <f t="shared" si="11"/>
        <v>0</v>
      </c>
      <c r="S10" s="6">
        <f t="shared" si="12"/>
        <v>0</v>
      </c>
      <c r="T10" s="13">
        <f t="shared" si="2"/>
        <v>0</v>
      </c>
      <c r="U10" s="13">
        <f t="shared" si="3"/>
        <v>0</v>
      </c>
      <c r="V10" s="16">
        <f t="shared" si="13"/>
        <v>0</v>
      </c>
      <c r="W10" s="12">
        <f t="shared" si="14"/>
        <v>0</v>
      </c>
      <c r="X10" s="14">
        <f t="shared" si="15"/>
        <v>0</v>
      </c>
      <c r="Z10" s="4"/>
    </row>
    <row r="11" spans="1:30" x14ac:dyDescent="0.35">
      <c r="A11" t="s">
        <v>9</v>
      </c>
      <c r="B11" s="2">
        <v>50</v>
      </c>
      <c r="C11" s="3">
        <v>7500000</v>
      </c>
      <c r="D11" s="2">
        <v>40</v>
      </c>
      <c r="E11" s="2">
        <v>50</v>
      </c>
      <c r="F11" s="2">
        <v>70</v>
      </c>
      <c r="G11" s="3">
        <v>1750</v>
      </c>
      <c r="H11" s="3">
        <v>1750</v>
      </c>
      <c r="I11" s="6">
        <f t="shared" si="4"/>
        <v>0</v>
      </c>
      <c r="J11" s="12">
        <f t="shared" si="5"/>
        <v>0</v>
      </c>
      <c r="K11" s="6">
        <f t="shared" si="6"/>
        <v>0</v>
      </c>
      <c r="L11" s="13">
        <f t="shared" si="0"/>
        <v>5.78300991336613E-2</v>
      </c>
      <c r="M11" s="13">
        <f t="shared" si="1"/>
        <v>1.0799999999999999E-2</v>
      </c>
      <c r="N11" s="6">
        <f t="shared" si="7"/>
        <v>0</v>
      </c>
      <c r="O11" s="6">
        <f t="shared" si="8"/>
        <v>0</v>
      </c>
      <c r="P11" s="6">
        <f t="shared" si="9"/>
        <v>0</v>
      </c>
      <c r="Q11" s="11">
        <f t="shared" si="10"/>
        <v>35000</v>
      </c>
      <c r="R11" s="12">
        <f t="shared" si="11"/>
        <v>7500000</v>
      </c>
      <c r="S11" s="6">
        <f t="shared" si="12"/>
        <v>85.714285714285708</v>
      </c>
      <c r="T11" s="13">
        <f t="shared" si="2"/>
        <v>7.3581750328628834E-2</v>
      </c>
      <c r="U11" s="13">
        <f t="shared" si="3"/>
        <v>7.1999999999999998E-3</v>
      </c>
      <c r="V11" s="16">
        <f t="shared" si="13"/>
        <v>6.9241500281681851</v>
      </c>
      <c r="W11" s="12">
        <f t="shared" si="14"/>
        <v>1750000</v>
      </c>
      <c r="X11" s="14">
        <f>$B11*Q11*V11</f>
        <v>12117262.549294325</v>
      </c>
      <c r="Z11" s="4"/>
    </row>
    <row r="12" spans="1:30" x14ac:dyDescent="0.35">
      <c r="A12" t="s">
        <v>10</v>
      </c>
      <c r="B12" s="2">
        <v>350</v>
      </c>
      <c r="C12" s="3">
        <v>61250000</v>
      </c>
      <c r="D12" s="2">
        <v>45</v>
      </c>
      <c r="E12" s="2">
        <v>50</v>
      </c>
      <c r="F12" s="2">
        <v>70</v>
      </c>
      <c r="G12" s="3">
        <v>2750</v>
      </c>
      <c r="H12" s="3">
        <v>3150</v>
      </c>
      <c r="I12" s="6">
        <f t="shared" si="4"/>
        <v>10000</v>
      </c>
      <c r="J12" s="12">
        <f t="shared" si="5"/>
        <v>9423076.9230769239</v>
      </c>
      <c r="K12" s="6">
        <f t="shared" si="6"/>
        <v>67.307692307692321</v>
      </c>
      <c r="L12" s="13">
        <f t="shared" si="0"/>
        <v>6.401196278645456E-2</v>
      </c>
      <c r="M12" s="13">
        <f t="shared" si="1"/>
        <v>8.9999999999999993E-3</v>
      </c>
      <c r="N12" s="6">
        <f t="shared" si="7"/>
        <v>4.9142667260113653</v>
      </c>
      <c r="O12" s="6">
        <f t="shared" si="8"/>
        <v>3500000</v>
      </c>
      <c r="P12" s="6">
        <f t="shared" si="9"/>
        <v>17199933.54103978</v>
      </c>
      <c r="Q12" s="11">
        <f t="shared" si="10"/>
        <v>55000</v>
      </c>
      <c r="R12" s="12">
        <f t="shared" si="11"/>
        <v>51826923.07692308</v>
      </c>
      <c r="S12" s="6">
        <f t="shared" si="12"/>
        <v>53.846153846153847</v>
      </c>
      <c r="T12" s="13">
        <f t="shared" si="2"/>
        <v>7.3581750328628834E-2</v>
      </c>
      <c r="U12" s="13">
        <f t="shared" si="3"/>
        <v>7.1999999999999998E-3</v>
      </c>
      <c r="V12" s="16">
        <f>S12*(T12+U12)</f>
        <v>4.3497865561569373</v>
      </c>
      <c r="W12" s="12">
        <f t="shared" si="14"/>
        <v>19250000</v>
      </c>
      <c r="X12" s="14">
        <f t="shared" si="15"/>
        <v>83733391.206021041</v>
      </c>
      <c r="Z12" s="4"/>
    </row>
    <row r="14" spans="1:30" x14ac:dyDescent="0.35">
      <c r="B14" s="25"/>
      <c r="C14" s="25"/>
    </row>
    <row r="15" spans="1:30" x14ac:dyDescent="0.35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V15" s="4" t="s">
        <v>18</v>
      </c>
      <c r="W15" s="4">
        <f>SUM(W6:W12,O6:O12)</f>
        <v>42475000</v>
      </c>
      <c r="X15" s="4">
        <f>SUM(X6:X12,P6:P12)</f>
        <v>392265454.15313548</v>
      </c>
    </row>
    <row r="16" spans="1:30" x14ac:dyDescent="0.35">
      <c r="A16" s="33"/>
      <c r="B16" s="34"/>
      <c r="C16" s="27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V16" s="1" t="s">
        <v>43</v>
      </c>
      <c r="X16" s="28">
        <f>X15/W15</f>
        <v>9.2352078670543953</v>
      </c>
    </row>
    <row r="17" spans="1:18" x14ac:dyDescent="0.35">
      <c r="A17" s="34"/>
      <c r="B17" s="12"/>
      <c r="C17" s="35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</row>
    <row r="18" spans="1:18" x14ac:dyDescent="0.35">
      <c r="A18" s="33"/>
      <c r="B18" s="12"/>
      <c r="C18" s="35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27.5" customHeight="1" x14ac:dyDescent="0.35">
      <c r="A19" s="58" t="s">
        <v>63</v>
      </c>
      <c r="B19" s="59"/>
      <c r="C19" s="59"/>
      <c r="D19" s="59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3"/>
      <c r="R19" s="33"/>
    </row>
    <row r="20" spans="1:18" x14ac:dyDescent="0.35">
      <c r="A20" s="33"/>
      <c r="B20" s="12"/>
      <c r="C20" s="12"/>
      <c r="D20" s="33"/>
      <c r="E20" s="33"/>
      <c r="F20" s="12"/>
      <c r="G20" s="12"/>
      <c r="H20" s="12"/>
      <c r="I20" s="12"/>
      <c r="J20" s="12"/>
      <c r="K20" s="37"/>
      <c r="L20" s="38"/>
      <c r="M20" s="38"/>
      <c r="N20" s="35"/>
      <c r="O20" s="12"/>
      <c r="P20" s="12"/>
      <c r="Q20" s="33"/>
      <c r="R20" s="33"/>
    </row>
    <row r="21" spans="1:18" x14ac:dyDescent="0.35">
      <c r="A21" s="42"/>
      <c r="B21" s="43" t="s">
        <v>55</v>
      </c>
      <c r="C21" s="44"/>
      <c r="D21" s="42"/>
      <c r="E21" s="33"/>
      <c r="F21" s="12"/>
      <c r="G21" s="12"/>
      <c r="H21" s="12"/>
      <c r="I21" s="12"/>
      <c r="J21" s="12"/>
      <c r="K21" s="37"/>
      <c r="L21" s="38"/>
      <c r="M21" s="38"/>
      <c r="N21" s="35"/>
      <c r="O21" s="12"/>
      <c r="P21" s="12"/>
      <c r="Q21" s="33"/>
      <c r="R21" s="33"/>
    </row>
    <row r="22" spans="1:18" x14ac:dyDescent="0.35">
      <c r="A22" s="42"/>
      <c r="B22" s="45" t="s">
        <v>46</v>
      </c>
      <c r="C22" s="39">
        <f>+X16</f>
        <v>9.2352078670543953</v>
      </c>
      <c r="D22" s="42"/>
      <c r="E22" s="33"/>
      <c r="F22" s="12"/>
      <c r="G22" s="12"/>
      <c r="H22" s="12"/>
      <c r="I22" s="12"/>
      <c r="J22" s="12"/>
      <c r="K22" s="37"/>
      <c r="L22" s="38"/>
      <c r="M22" s="38"/>
      <c r="N22" s="35"/>
      <c r="O22" s="12"/>
      <c r="P22" s="12"/>
      <c r="Q22" s="33"/>
      <c r="R22" s="33"/>
    </row>
    <row r="23" spans="1:18" x14ac:dyDescent="0.35">
      <c r="A23" s="42"/>
      <c r="B23" s="44" t="s">
        <v>44</v>
      </c>
      <c r="C23" s="39">
        <v>14.56</v>
      </c>
      <c r="D23" s="42"/>
      <c r="E23" s="33"/>
      <c r="F23" s="12"/>
      <c r="G23" s="12"/>
      <c r="H23" s="12"/>
      <c r="I23" s="12"/>
      <c r="J23" s="12"/>
      <c r="K23" s="37"/>
      <c r="L23" s="38"/>
      <c r="M23" s="38"/>
      <c r="N23" s="35"/>
      <c r="O23" s="12"/>
      <c r="P23" s="12"/>
      <c r="Q23" s="33"/>
      <c r="R23" s="33"/>
    </row>
    <row r="24" spans="1:18" x14ac:dyDescent="0.35">
      <c r="A24" s="42"/>
      <c r="B24" s="47" t="s">
        <v>42</v>
      </c>
      <c r="C24" s="2">
        <v>150</v>
      </c>
      <c r="D24" s="42"/>
      <c r="E24" s="33"/>
      <c r="F24" s="12"/>
      <c r="G24" s="12"/>
      <c r="H24" s="12"/>
      <c r="I24" s="12"/>
      <c r="J24" s="12"/>
      <c r="K24" s="37"/>
      <c r="L24" s="38"/>
      <c r="M24" s="38"/>
      <c r="N24" s="35"/>
      <c r="O24" s="12"/>
      <c r="P24" s="12"/>
      <c r="Q24" s="33"/>
      <c r="R24" s="33"/>
    </row>
    <row r="25" spans="1:18" x14ac:dyDescent="0.35">
      <c r="A25" s="42"/>
      <c r="B25" s="47" t="s">
        <v>62</v>
      </c>
      <c r="C25" s="2">
        <v>160</v>
      </c>
      <c r="D25" s="42"/>
      <c r="E25" s="33"/>
      <c r="F25" s="12"/>
      <c r="G25" s="12"/>
      <c r="H25" s="12"/>
      <c r="I25" s="12"/>
      <c r="J25" s="12"/>
      <c r="K25" s="37"/>
      <c r="L25" s="38"/>
      <c r="M25" s="38"/>
      <c r="N25" s="35"/>
      <c r="O25" s="12"/>
      <c r="P25" s="12"/>
      <c r="Q25" s="33"/>
      <c r="R25" s="33"/>
    </row>
    <row r="26" spans="1:18" x14ac:dyDescent="0.35">
      <c r="A26" s="42"/>
      <c r="B26" s="42"/>
      <c r="C26" s="44"/>
      <c r="D26" s="42"/>
      <c r="E26" s="33"/>
      <c r="F26" s="33"/>
      <c r="G26" s="12"/>
      <c r="H26" s="12"/>
      <c r="I26" s="12"/>
      <c r="J26" s="12"/>
      <c r="K26" s="37"/>
      <c r="L26" s="38"/>
      <c r="M26" s="38"/>
      <c r="N26" s="35"/>
      <c r="O26" s="12"/>
      <c r="P26" s="12"/>
      <c r="Q26" s="33"/>
      <c r="R26" s="33"/>
    </row>
    <row r="27" spans="1:18" x14ac:dyDescent="0.35">
      <c r="A27" s="42"/>
      <c r="B27" s="32" t="s">
        <v>50</v>
      </c>
      <c r="C27" s="39">
        <f>+(C23*2*(C25/C24)+C22)/3</f>
        <v>13.432180400129242</v>
      </c>
      <c r="D27" s="42"/>
      <c r="E27" s="33"/>
      <c r="F27" s="33"/>
      <c r="G27" s="12"/>
      <c r="H27" s="12"/>
      <c r="I27" s="12"/>
      <c r="J27" s="12"/>
      <c r="K27" s="37"/>
      <c r="L27" s="38"/>
      <c r="M27" s="38"/>
      <c r="N27" s="35"/>
      <c r="O27" s="12"/>
      <c r="P27" s="12"/>
      <c r="Q27" s="33"/>
      <c r="R27" s="33"/>
    </row>
    <row r="28" spans="1:18" x14ac:dyDescent="0.35">
      <c r="A28" s="42"/>
      <c r="B28" s="42"/>
      <c r="C28" s="46"/>
      <c r="D28" s="42"/>
      <c r="E28" s="33"/>
      <c r="F28" s="33"/>
      <c r="G28" s="12"/>
      <c r="H28" s="12"/>
      <c r="I28" s="12"/>
      <c r="J28" s="12"/>
      <c r="K28" s="37"/>
      <c r="L28" s="38"/>
      <c r="M28" s="38"/>
      <c r="N28" s="35"/>
      <c r="O28" s="12"/>
      <c r="P28" s="12"/>
      <c r="Q28" s="33"/>
      <c r="R28" s="33"/>
    </row>
    <row r="29" spans="1:18" x14ac:dyDescent="0.35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4"/>
      <c r="O29" s="34"/>
      <c r="P29" s="27"/>
      <c r="Q29" s="33"/>
      <c r="R29" s="33"/>
    </row>
    <row r="30" spans="1:18" x14ac:dyDescent="0.35">
      <c r="A30" s="42"/>
      <c r="B30" s="48" t="s">
        <v>56</v>
      </c>
      <c r="C30" s="42"/>
      <c r="D30" s="42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</row>
    <row r="31" spans="1:18" x14ac:dyDescent="0.35">
      <c r="A31" s="48"/>
      <c r="B31" s="42" t="s">
        <v>45</v>
      </c>
      <c r="C31" s="41">
        <v>21</v>
      </c>
      <c r="D31" s="42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</row>
    <row r="32" spans="1:18" x14ac:dyDescent="0.35">
      <c r="A32" s="42"/>
      <c r="B32" s="42" t="s">
        <v>46</v>
      </c>
      <c r="C32" s="39">
        <f>+C22</f>
        <v>9.2352078670543953</v>
      </c>
      <c r="D32" s="42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</row>
    <row r="33" spans="1:18" x14ac:dyDescent="0.35">
      <c r="A33" s="49"/>
      <c r="B33" s="44" t="s">
        <v>44</v>
      </c>
      <c r="C33" s="39">
        <v>14.56</v>
      </c>
      <c r="D33" s="49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3"/>
      <c r="R33" s="33"/>
    </row>
    <row r="34" spans="1:18" x14ac:dyDescent="0.35">
      <c r="A34" s="42"/>
      <c r="B34" s="47" t="s">
        <v>49</v>
      </c>
      <c r="C34" s="2">
        <v>150</v>
      </c>
      <c r="D34" s="42"/>
      <c r="E34" s="33"/>
      <c r="F34" s="12"/>
      <c r="G34" s="12"/>
      <c r="H34" s="12"/>
      <c r="I34" s="12"/>
      <c r="J34" s="12"/>
      <c r="K34" s="37"/>
      <c r="L34" s="38"/>
      <c r="M34" s="38"/>
      <c r="N34" s="35"/>
      <c r="O34" s="12"/>
      <c r="P34" s="12"/>
      <c r="Q34" s="33"/>
      <c r="R34" s="33"/>
    </row>
    <row r="35" spans="1:18" x14ac:dyDescent="0.35">
      <c r="A35" s="42"/>
      <c r="B35" s="47" t="s">
        <v>48</v>
      </c>
      <c r="C35" s="2">
        <v>160</v>
      </c>
      <c r="D35" s="42"/>
      <c r="E35" s="33"/>
      <c r="F35" s="12"/>
      <c r="G35" s="12"/>
      <c r="H35" s="12"/>
      <c r="I35" s="12"/>
      <c r="J35" s="12"/>
      <c r="K35" s="37"/>
      <c r="L35" s="38"/>
      <c r="M35" s="38"/>
      <c r="N35" s="35"/>
      <c r="O35" s="12"/>
      <c r="P35" s="12"/>
      <c r="Q35" s="33"/>
      <c r="R35" s="33"/>
    </row>
    <row r="36" spans="1:18" x14ac:dyDescent="0.35">
      <c r="A36" s="42"/>
      <c r="B36" s="47" t="s">
        <v>47</v>
      </c>
      <c r="C36" s="31">
        <v>170</v>
      </c>
      <c r="D36" s="42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</row>
    <row r="37" spans="1:18" x14ac:dyDescent="0.35">
      <c r="A37" s="42"/>
      <c r="B37" s="42"/>
      <c r="C37" s="42"/>
      <c r="D37" s="42"/>
      <c r="E37" s="33"/>
      <c r="F37" s="33"/>
      <c r="G37" s="33"/>
      <c r="H37" s="33"/>
      <c r="I37" s="33"/>
      <c r="J37" s="33"/>
      <c r="K37" s="33"/>
      <c r="L37" s="33"/>
      <c r="M37" s="33"/>
      <c r="N37" s="35"/>
      <c r="O37" s="12"/>
      <c r="P37" s="12"/>
      <c r="Q37" s="33"/>
      <c r="R37" s="33"/>
    </row>
    <row r="38" spans="1:18" x14ac:dyDescent="0.35">
      <c r="A38" s="42"/>
      <c r="B38" s="42" t="s">
        <v>52</v>
      </c>
      <c r="C38" s="41">
        <f>+C32*C36/C35</f>
        <v>9.8124083587452944</v>
      </c>
      <c r="D38" s="42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</row>
    <row r="39" spans="1:18" x14ac:dyDescent="0.35">
      <c r="A39" s="42"/>
      <c r="B39" s="44" t="s">
        <v>53</v>
      </c>
      <c r="C39" s="41">
        <f>+C33*C36/C34</f>
        <v>16.501333333333335</v>
      </c>
      <c r="D39" s="42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</row>
    <row r="40" spans="1:18" x14ac:dyDescent="0.35">
      <c r="A40" s="47"/>
      <c r="B40" s="32" t="s">
        <v>51</v>
      </c>
      <c r="C40" s="39">
        <f>AVERAGE(C38:C39,C31)</f>
        <v>15.771247230692877</v>
      </c>
      <c r="D40" s="47"/>
    </row>
    <row r="41" spans="1:18" x14ac:dyDescent="0.35">
      <c r="A41" s="47"/>
      <c r="B41" s="42"/>
      <c r="C41" s="46"/>
      <c r="D41" s="47"/>
    </row>
    <row r="42" spans="1:18" x14ac:dyDescent="0.35">
      <c r="A42" s="30"/>
      <c r="B42" s="33"/>
      <c r="C42" s="40"/>
      <c r="D42" s="30"/>
      <c r="E42" s="30"/>
    </row>
    <row r="44" spans="1:18" x14ac:dyDescent="0.35">
      <c r="A44" s="47"/>
      <c r="B44" s="50" t="s">
        <v>64</v>
      </c>
      <c r="C44" s="47"/>
      <c r="D44" s="47"/>
    </row>
    <row r="45" spans="1:18" x14ac:dyDescent="0.35">
      <c r="A45" s="47"/>
      <c r="B45" s="42" t="s">
        <v>54</v>
      </c>
      <c r="C45" s="51">
        <v>10</v>
      </c>
      <c r="D45" s="47"/>
    </row>
    <row r="46" spans="1:18" x14ac:dyDescent="0.35">
      <c r="A46" s="47"/>
      <c r="B46" s="42" t="s">
        <v>45</v>
      </c>
      <c r="C46" s="41">
        <v>21</v>
      </c>
      <c r="D46" s="47"/>
    </row>
    <row r="47" spans="1:18" x14ac:dyDescent="0.35">
      <c r="A47" s="47"/>
      <c r="B47" s="42" t="s">
        <v>46</v>
      </c>
      <c r="C47" s="39">
        <f>+C22</f>
        <v>9.2352078670543953</v>
      </c>
      <c r="D47" s="47"/>
    </row>
    <row r="48" spans="1:18" x14ac:dyDescent="0.35">
      <c r="A48" s="47"/>
      <c r="B48" s="47" t="s">
        <v>48</v>
      </c>
      <c r="C48" s="2">
        <v>160</v>
      </c>
      <c r="D48" s="47"/>
    </row>
    <row r="49" spans="1:4" x14ac:dyDescent="0.35">
      <c r="A49" s="47"/>
      <c r="B49" s="47" t="s">
        <v>58</v>
      </c>
      <c r="C49" s="2">
        <v>170</v>
      </c>
      <c r="D49" s="47"/>
    </row>
    <row r="50" spans="1:4" x14ac:dyDescent="0.35">
      <c r="A50" s="47"/>
      <c r="B50" s="47" t="s">
        <v>57</v>
      </c>
      <c r="C50" s="31">
        <v>180</v>
      </c>
      <c r="D50" s="47"/>
    </row>
    <row r="51" spans="1:4" x14ac:dyDescent="0.35">
      <c r="A51" s="47"/>
      <c r="B51" s="47"/>
      <c r="C51" s="47"/>
      <c r="D51" s="47"/>
    </row>
    <row r="52" spans="1:4" x14ac:dyDescent="0.35">
      <c r="A52" s="47"/>
      <c r="B52" s="42" t="s">
        <v>59</v>
      </c>
      <c r="C52" s="51">
        <f>+C46*C50/C49</f>
        <v>22.235294117647058</v>
      </c>
      <c r="D52" s="47"/>
    </row>
    <row r="53" spans="1:4" x14ac:dyDescent="0.35">
      <c r="A53" s="47"/>
      <c r="B53" s="42" t="s">
        <v>60</v>
      </c>
      <c r="C53" s="51">
        <f>+C47*C50/C48</f>
        <v>10.389608850436193</v>
      </c>
      <c r="D53" s="47"/>
    </row>
    <row r="54" spans="1:4" x14ac:dyDescent="0.35">
      <c r="A54" s="47"/>
      <c r="B54" s="32" t="s">
        <v>61</v>
      </c>
      <c r="C54" s="39">
        <f>AVERAGE(C52:C53,C45)</f>
        <v>14.208300989361083</v>
      </c>
      <c r="D54" s="47"/>
    </row>
    <row r="55" spans="1:4" x14ac:dyDescent="0.35">
      <c r="A55" s="47"/>
      <c r="B55" s="47"/>
      <c r="C55" s="47"/>
      <c r="D55" s="47"/>
    </row>
  </sheetData>
  <mergeCells count="1">
    <mergeCell ref="A19:D19"/>
  </mergeCells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D77A8-7FBA-434E-82B4-3CE2A42314D1}">
  <dimension ref="B2:C3"/>
  <sheetViews>
    <sheetView workbookViewId="0">
      <selection activeCell="C2" sqref="C2"/>
    </sheetView>
  </sheetViews>
  <sheetFormatPr defaultRowHeight="14.5" x14ac:dyDescent="0.35"/>
  <cols>
    <col min="2" max="2" width="10.54296875" bestFit="1" customWidth="1"/>
  </cols>
  <sheetData>
    <row r="2" spans="2:3" x14ac:dyDescent="0.35">
      <c r="B2" t="s">
        <v>13</v>
      </c>
      <c r="C2" s="2">
        <v>0.04</v>
      </c>
    </row>
    <row r="3" spans="2:3" x14ac:dyDescent="0.35">
      <c r="B3" t="s">
        <v>14</v>
      </c>
      <c r="C3" s="2">
        <v>1.7999999999999999E-2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C8DFA6-2E38-4FFF-9608-2A0DBBB61E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41AF28-BEA9-436B-B873-23FB66DD2C6F}">
  <ds:schemaRefs>
    <ds:schemaRef ds:uri="http://schemas.microsoft.com/office/2006/metadata/properties"/>
    <ds:schemaRef ds:uri="http://schemas.microsoft.com/office/infopath/2007/PartnerControls"/>
    <ds:schemaRef ds:uri="ecbfe105-6ac8-456f-b862-d8441338110b"/>
    <ds:schemaRef ds:uri="a9c55b04-a7a9-4ad1-ae8c-22dbe19f9100"/>
  </ds:schemaRefs>
</ds:datastoreItem>
</file>

<file path=customXml/itemProps3.xml><?xml version="1.0" encoding="utf-8"?>
<ds:datastoreItem xmlns:ds="http://schemas.openxmlformats.org/officeDocument/2006/customXml" ds:itemID="{DB9E204E-C35C-4001-8DB1-3E5A8EB389B8}"/>
</file>

<file path=docMetadata/LabelInfo.xml><?xml version="1.0" encoding="utf-8"?>
<clbl:labelList xmlns:clbl="http://schemas.microsoft.com/office/2020/mipLabelMetadata">
  <clbl:label id="{db8e2f82-8a37-4c09-b7de-ed06547b5a20}" enabled="0" method="" siteId="{db8e2f82-8a37-4c09-b7de-ed06547b5a2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CMP315 PJ</vt:lpstr>
      <vt:lpstr>CMP375 PJ</vt:lpstr>
      <vt:lpstr>Constants</vt:lpstr>
      <vt:lpstr>'CMP315 PJ'!MEA_Cost2</vt:lpstr>
      <vt:lpstr>MEA_Cost2</vt:lpstr>
      <vt:lpstr>Overheads</vt:lpstr>
      <vt:lpstr>WACC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Sillito</dc:creator>
  <cp:lastModifiedBy>Jones, Paul</cp:lastModifiedBy>
  <cp:lastPrinted>2022-09-19T09:01:28Z</cp:lastPrinted>
  <dcterms:created xsi:type="dcterms:W3CDTF">2022-06-10T07:33:58Z</dcterms:created>
  <dcterms:modified xsi:type="dcterms:W3CDTF">2022-11-02T11:44:10Z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